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\Documents\Work\Excelwork\OPI\2017 OPI conference\"/>
    </mc:Choice>
  </mc:AlternateContent>
  <bookViews>
    <workbookView xWindow="0" yWindow="0" windowWidth="20490" windowHeight="7455" firstSheet="6" activeTab="6"/>
    <workbookView xWindow="0" yWindow="0" windowWidth="20490" windowHeight="9000" firstSheet="3" activeTab="4"/>
  </bookViews>
  <sheets>
    <sheet name="Outline" sheetId="1" r:id="rId1"/>
    <sheet name="Reserve input" sheetId="32" r:id="rId2"/>
    <sheet name="Cost inputs" sheetId="21" r:id="rId3"/>
    <sheet name="Summary" sheetId="22" r:id="rId4"/>
    <sheet name="Graphs" sheetId="36" r:id="rId5"/>
    <sheet name="Prices" sheetId="10" r:id="rId6"/>
    <sheet name="Devonian" sheetId="3" r:id="rId7"/>
    <sheet name="Dev vert ec" sheetId="5" r:id="rId8"/>
    <sheet name="Dev hor ec" sheetId="6" r:id="rId9"/>
    <sheet name="Sil Carb" sheetId="7" r:id="rId10"/>
    <sheet name="Sil A1 vert" sheetId="8" r:id="rId11"/>
    <sheet name="Sil A1 hor" sheetId="9" r:id="rId12"/>
    <sheet name="Sil Gu Oil" sheetId="18" r:id="rId13"/>
    <sheet name="Sil Gu Oil vert ec" sheetId="19" r:id="rId14"/>
    <sheet name="Sil Gu Oil hor ec" sheetId="20" r:id="rId15"/>
    <sheet name="Sil Gu gas" sheetId="33" r:id="rId16"/>
    <sheet name="Sil Gu gas ver ec " sheetId="34" r:id="rId17"/>
    <sheet name="Sil Gu gas hor ec" sheetId="35" r:id="rId18"/>
    <sheet name="Sil Clint Gas" sheetId="26" r:id="rId19"/>
    <sheet name="Sil Clint gas vert" sheetId="27" r:id="rId20"/>
    <sheet name="Sil Clint gas hor" sheetId="28" r:id="rId21"/>
    <sheet name="Ord Oil" sheetId="11" r:id="rId22"/>
    <sheet name="Ord Gas" sheetId="29" r:id="rId23"/>
    <sheet name="Ord stdy Res" sheetId="12" r:id="rId24"/>
    <sheet name="Ord gas vert" sheetId="30" r:id="rId25"/>
    <sheet name="Ord gas hor" sheetId="31" r:id="rId26"/>
    <sheet name="Ord vert oil ec" sheetId="13" r:id="rId27"/>
    <sheet name="Ord hor oil ec" sheetId="14" r:id="rId28"/>
    <sheet name="Cam Gas" sheetId="23" r:id="rId29"/>
    <sheet name="Cam gas vert" sheetId="24" r:id="rId30"/>
    <sheet name="Cam gas hor" sheetId="25" r:id="rId31"/>
    <sheet name="Cam Oil" sheetId="15" r:id="rId32"/>
    <sheet name="Cam vert oil ec" sheetId="16" r:id="rId33"/>
    <sheet name="Cam hor oil ec" sheetId="17" r:id="rId34"/>
  </sheets>
  <definedNames>
    <definedName name="_xlnm.Print_Area" localSheetId="30">'Cam gas hor'!$A$1:$N$107</definedName>
    <definedName name="_xlnm.Print_Area" localSheetId="29">'Cam gas vert'!$A$1:$N$107</definedName>
    <definedName name="_xlnm.Print_Area" localSheetId="33">'Cam hor oil ec'!$A$1:$N$106</definedName>
    <definedName name="_xlnm.Print_Area" localSheetId="32">'Cam vert oil ec'!$A$1:$N$106</definedName>
    <definedName name="_xlnm.Print_Area" localSheetId="2">'Cost inputs'!$A$18:$E$38</definedName>
    <definedName name="_xlnm.Print_Area" localSheetId="8">'Dev hor ec'!$A$1:$N$106</definedName>
    <definedName name="_xlnm.Print_Area" localSheetId="7">'Dev vert ec'!$A$1:$N$106</definedName>
    <definedName name="_xlnm.Print_Area" localSheetId="25">'Ord gas hor'!$A$1:$N$107</definedName>
    <definedName name="_xlnm.Print_Area" localSheetId="24">'Ord gas vert'!$A$1:$N$107</definedName>
    <definedName name="_xlnm.Print_Area" localSheetId="27">'Ord hor oil ec'!$A$1:$N$106</definedName>
    <definedName name="_xlnm.Print_Area" localSheetId="26">'Ord vert oil ec'!$A$1:$N$106</definedName>
    <definedName name="_xlnm.Print_Area" localSheetId="5">Prices!$A$1:$O$55</definedName>
    <definedName name="_xlnm.Print_Area" localSheetId="11">'Sil A1 hor'!$A$1:$N$107</definedName>
    <definedName name="_xlnm.Print_Area" localSheetId="10">'Sil A1 vert'!$A$1:$N$107</definedName>
    <definedName name="_xlnm.Print_Area" localSheetId="20">'Sil Clint gas hor'!$A$1:$N$107</definedName>
    <definedName name="_xlnm.Print_Area" localSheetId="19">'Sil Clint gas vert'!$A$1:$N$107</definedName>
    <definedName name="_xlnm.Print_Area" localSheetId="17">'Sil Gu gas hor ec'!$A$1:$N$107</definedName>
    <definedName name="_xlnm.Print_Area" localSheetId="16">'Sil Gu gas ver ec '!$A$1:$N$107</definedName>
    <definedName name="_xlnm.Print_Area" localSheetId="14">'Sil Gu Oil hor ec'!$A$1:$N$106</definedName>
    <definedName name="_xlnm.Print_Area" localSheetId="13">'Sil Gu Oil vert ec'!$A$1:$N$106</definedName>
    <definedName name="_xlnm.Print_Titles" localSheetId="30">'Cam gas hor'!$1:$3</definedName>
    <definedName name="_xlnm.Print_Titles" localSheetId="29">'Cam gas vert'!$1:$3</definedName>
    <definedName name="_xlnm.Print_Titles" localSheetId="33">'Cam hor oil ec'!$1:$3</definedName>
    <definedName name="_xlnm.Print_Titles" localSheetId="32">'Cam vert oil ec'!$1:$3</definedName>
    <definedName name="_xlnm.Print_Titles" localSheetId="2">'Cost inputs'!$1:$2</definedName>
    <definedName name="_xlnm.Print_Titles" localSheetId="8">'Dev hor ec'!$1:$3</definedName>
    <definedName name="_xlnm.Print_Titles" localSheetId="7">'Dev vert ec'!$1:$3</definedName>
    <definedName name="_xlnm.Print_Titles" localSheetId="25">'Ord gas hor'!$1:$3</definedName>
    <definedName name="_xlnm.Print_Titles" localSheetId="24">'Ord gas vert'!$1:$3</definedName>
    <definedName name="_xlnm.Print_Titles" localSheetId="27">'Ord hor oil ec'!$1:$3</definedName>
    <definedName name="_xlnm.Print_Titles" localSheetId="26">'Ord vert oil ec'!$1:$3</definedName>
    <definedName name="_xlnm.Print_Titles" localSheetId="11">'Sil A1 hor'!$1:$3</definedName>
    <definedName name="_xlnm.Print_Titles" localSheetId="10">'Sil A1 vert'!$1:$3</definedName>
    <definedName name="_xlnm.Print_Titles" localSheetId="20">'Sil Clint gas hor'!$1:$3</definedName>
    <definedName name="_xlnm.Print_Titles" localSheetId="19">'Sil Clint gas vert'!$1:$3</definedName>
    <definedName name="_xlnm.Print_Titles" localSheetId="17">'Sil Gu gas hor ec'!$1:$3</definedName>
    <definedName name="_xlnm.Print_Titles" localSheetId="16">'Sil Gu gas ver ec '!$1:$3</definedName>
    <definedName name="_xlnm.Print_Titles" localSheetId="14">'Sil Gu Oil hor ec'!$1:$3</definedName>
    <definedName name="_xlnm.Print_Titles" localSheetId="13">'Sil Gu Oil vert ec'!$1:$3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G44" i="3"/>
  <c r="G22" i="7"/>
  <c r="E36" i="13" l="1"/>
  <c r="E35" i="13"/>
  <c r="E34" i="13"/>
  <c r="E33" i="13"/>
  <c r="E32" i="13"/>
  <c r="E31" i="13"/>
  <c r="E36" i="14"/>
  <c r="E35" i="14"/>
  <c r="E34" i="14"/>
  <c r="E33" i="14"/>
  <c r="E32" i="14"/>
  <c r="E31" i="14"/>
  <c r="E31" i="17"/>
  <c r="E36" i="17"/>
  <c r="E35" i="17"/>
  <c r="E34" i="17"/>
  <c r="E33" i="17"/>
  <c r="E32" i="17"/>
  <c r="E36" i="16"/>
  <c r="E35" i="16"/>
  <c r="E34" i="16"/>
  <c r="E33" i="16"/>
  <c r="E32" i="16"/>
  <c r="E31" i="16"/>
  <c r="E37" i="25"/>
  <c r="E36" i="25"/>
  <c r="E35" i="25"/>
  <c r="E34" i="25"/>
  <c r="E33" i="25"/>
  <c r="E32" i="25"/>
  <c r="E32" i="24"/>
  <c r="E37" i="24"/>
  <c r="E36" i="24"/>
  <c r="E35" i="24"/>
  <c r="E34" i="24"/>
  <c r="E33" i="24"/>
  <c r="E37" i="31"/>
  <c r="E36" i="31"/>
  <c r="E35" i="31"/>
  <c r="E34" i="31"/>
  <c r="E33" i="31"/>
  <c r="E32" i="31"/>
  <c r="E37" i="30"/>
  <c r="E36" i="30"/>
  <c r="E35" i="30"/>
  <c r="E34" i="30"/>
  <c r="E33" i="30"/>
  <c r="E32" i="30"/>
  <c r="E32" i="28"/>
  <c r="E37" i="28"/>
  <c r="E36" i="28"/>
  <c r="E35" i="28"/>
  <c r="E34" i="28"/>
  <c r="E33" i="28"/>
  <c r="E32" i="27"/>
  <c r="E37" i="27"/>
  <c r="E36" i="27"/>
  <c r="E35" i="27"/>
  <c r="E34" i="27"/>
  <c r="E33" i="27"/>
  <c r="E37" i="35"/>
  <c r="E36" i="35"/>
  <c r="E35" i="35"/>
  <c r="E34" i="35"/>
  <c r="E33" i="35"/>
  <c r="E32" i="35"/>
  <c r="E37" i="34"/>
  <c r="E36" i="34"/>
  <c r="E35" i="34"/>
  <c r="E34" i="34"/>
  <c r="E33" i="34"/>
  <c r="E32" i="34"/>
  <c r="E36" i="20"/>
  <c r="E35" i="20"/>
  <c r="E34" i="20"/>
  <c r="E33" i="20"/>
  <c r="E32" i="20"/>
  <c r="E31" i="20"/>
  <c r="E36" i="19"/>
  <c r="E35" i="19"/>
  <c r="E34" i="19"/>
  <c r="E33" i="19"/>
  <c r="E32" i="19"/>
  <c r="E31" i="19"/>
  <c r="E37" i="9"/>
  <c r="E36" i="9"/>
  <c r="E35" i="9"/>
  <c r="E34" i="9"/>
  <c r="E33" i="9"/>
  <c r="E32" i="9"/>
  <c r="E31" i="6"/>
  <c r="E36" i="6"/>
  <c r="E35" i="6"/>
  <c r="E34" i="6"/>
  <c r="E33" i="6"/>
  <c r="E32" i="6"/>
  <c r="E36" i="5"/>
  <c r="E35" i="5"/>
  <c r="E34" i="5"/>
  <c r="E33" i="5"/>
  <c r="E32" i="5"/>
  <c r="E31" i="5"/>
  <c r="J10" i="22"/>
  <c r="I45" i="11" l="1"/>
  <c r="I24" i="11"/>
  <c r="I13" i="11"/>
  <c r="E21" i="35" l="1"/>
  <c r="E19" i="35"/>
  <c r="E10" i="35"/>
  <c r="E7" i="35"/>
  <c r="B51" i="35" s="1"/>
  <c r="D71" i="35" s="1"/>
  <c r="F71" i="35" s="1"/>
  <c r="E4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C50" i="35"/>
  <c r="D50" i="35" s="1"/>
  <c r="A50" i="35"/>
  <c r="R23" i="35"/>
  <c r="R22" i="35"/>
  <c r="R20" i="35"/>
  <c r="R19" i="35"/>
  <c r="R17" i="35"/>
  <c r="Q13" i="35"/>
  <c r="B71" i="35"/>
  <c r="G9" i="35"/>
  <c r="G8" i="35"/>
  <c r="E50" i="35"/>
  <c r="H50" i="35" s="1"/>
  <c r="I55" i="33"/>
  <c r="I54" i="33"/>
  <c r="I51" i="33"/>
  <c r="G47" i="33"/>
  <c r="C42" i="33"/>
  <c r="C71" i="35" l="1"/>
  <c r="C51" i="35"/>
  <c r="D51" i="35" s="1"/>
  <c r="B52" i="35"/>
  <c r="A71" i="35"/>
  <c r="A93" i="35" s="1"/>
  <c r="A51" i="35"/>
  <c r="F50" i="35"/>
  <c r="I35" i="33"/>
  <c r="I34" i="33"/>
  <c r="E21" i="34" s="1"/>
  <c r="E19" i="34"/>
  <c r="E10" i="34"/>
  <c r="E4" i="34"/>
  <c r="B71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F50" i="34"/>
  <c r="D50" i="34"/>
  <c r="C50" i="34"/>
  <c r="A50" i="34"/>
  <c r="R23" i="34"/>
  <c r="R22" i="34"/>
  <c r="R20" i="34"/>
  <c r="R19" i="34"/>
  <c r="R17" i="34"/>
  <c r="Q13" i="34"/>
  <c r="G9" i="34"/>
  <c r="G8" i="34"/>
  <c r="E50" i="34"/>
  <c r="I31" i="33"/>
  <c r="G27" i="33"/>
  <c r="C22" i="33"/>
  <c r="I20" i="33"/>
  <c r="I56" i="33"/>
  <c r="I52" i="33"/>
  <c r="I49" i="33" s="1"/>
  <c r="I32" i="33"/>
  <c r="I16" i="33"/>
  <c r="I37" i="33" s="1"/>
  <c r="I15" i="33"/>
  <c r="I14" i="33"/>
  <c r="I36" i="33" s="1"/>
  <c r="E25" i="34" s="1"/>
  <c r="I13" i="33"/>
  <c r="I24" i="33" s="1"/>
  <c r="D48" i="22" s="1"/>
  <c r="I12" i="33"/>
  <c r="I11" i="33"/>
  <c r="I10" i="33"/>
  <c r="I9" i="33"/>
  <c r="I8" i="33"/>
  <c r="I7" i="33"/>
  <c r="I6" i="33"/>
  <c r="I5" i="33"/>
  <c r="E25" i="35" l="1"/>
  <c r="I57" i="33"/>
  <c r="I44" i="33"/>
  <c r="D49" i="22" s="1"/>
  <c r="B53" i="35"/>
  <c r="C52" i="35"/>
  <c r="D52" i="35" s="1"/>
  <c r="D72" i="35"/>
  <c r="E71" i="35"/>
  <c r="I50" i="35"/>
  <c r="G50" i="35"/>
  <c r="J50" i="35" s="1"/>
  <c r="A52" i="35"/>
  <c r="A72" i="35"/>
  <c r="A94" i="35" s="1"/>
  <c r="I29" i="33"/>
  <c r="E7" i="34" s="1"/>
  <c r="B51" i="34" s="1"/>
  <c r="D71" i="34" s="1"/>
  <c r="C71" i="34" s="1"/>
  <c r="E71" i="34" s="1"/>
  <c r="I50" i="34"/>
  <c r="G50" i="34"/>
  <c r="J50" i="34" s="1"/>
  <c r="H50" i="34"/>
  <c r="A71" i="34"/>
  <c r="A93" i="34" s="1"/>
  <c r="A51" i="34"/>
  <c r="M14" i="32"/>
  <c r="F15" i="22" s="1"/>
  <c r="L14" i="32"/>
  <c r="I14" i="32"/>
  <c r="B14" i="32"/>
  <c r="F14" i="32" s="1"/>
  <c r="G14" i="32" s="1"/>
  <c r="I13" i="32"/>
  <c r="B13" i="32"/>
  <c r="F13" i="32" s="1"/>
  <c r="M12" i="32"/>
  <c r="F13" i="22" s="1"/>
  <c r="I12" i="32"/>
  <c r="C12" i="32"/>
  <c r="F12" i="32"/>
  <c r="G12" i="32" s="1"/>
  <c r="N11" i="32"/>
  <c r="I11" i="32"/>
  <c r="C11" i="32"/>
  <c r="F11" i="32"/>
  <c r="G11" i="32" s="1"/>
  <c r="O11" i="32" s="1"/>
  <c r="G12" i="22" s="1"/>
  <c r="O10" i="32"/>
  <c r="G11" i="22" s="1"/>
  <c r="N10" i="32"/>
  <c r="I10" i="32"/>
  <c r="F10" i="32"/>
  <c r="G10" i="32" s="1"/>
  <c r="C10" i="32"/>
  <c r="D10" i="22"/>
  <c r="E10" i="22" s="1"/>
  <c r="C19" i="33" s="1"/>
  <c r="N9" i="32"/>
  <c r="I9" i="32"/>
  <c r="F9" i="32"/>
  <c r="G9" i="32" s="1"/>
  <c r="O9" i="32" s="1"/>
  <c r="G10" i="22" s="1"/>
  <c r="I19" i="33" s="1"/>
  <c r="C9" i="32"/>
  <c r="G13" i="32" l="1"/>
  <c r="O13" i="32" s="1"/>
  <c r="G14" i="22" s="1"/>
  <c r="N13" i="32"/>
  <c r="L12" i="32"/>
  <c r="A73" i="35"/>
  <c r="A95" i="35" s="1"/>
  <c r="A53" i="35"/>
  <c r="F72" i="35"/>
  <c r="C72" i="35"/>
  <c r="G71" i="35"/>
  <c r="H71" i="35" s="1"/>
  <c r="D73" i="35"/>
  <c r="B54" i="35"/>
  <c r="C53" i="35"/>
  <c r="D53" i="35" s="1"/>
  <c r="F71" i="34"/>
  <c r="B52" i="34"/>
  <c r="B53" i="34" s="1"/>
  <c r="C51" i="34"/>
  <c r="D51" i="34" s="1"/>
  <c r="G71" i="34"/>
  <c r="H71" i="34" s="1"/>
  <c r="A52" i="34"/>
  <c r="A72" i="34"/>
  <c r="A94" i="34" s="1"/>
  <c r="G23" i="33"/>
  <c r="G43" i="33"/>
  <c r="I47" i="33" s="1"/>
  <c r="I23" i="33"/>
  <c r="I27" i="33"/>
  <c r="F26" i="22" s="1"/>
  <c r="I21" i="33"/>
  <c r="I50" i="33" s="1"/>
  <c r="J27" i="22" s="1"/>
  <c r="I43" i="33"/>
  <c r="M8" i="32"/>
  <c r="F9" i="22" s="1"/>
  <c r="L8" i="32"/>
  <c r="I8" i="32"/>
  <c r="F8" i="32"/>
  <c r="G8" i="32" s="1"/>
  <c r="D72" i="34" l="1"/>
  <c r="F72" i="34" s="1"/>
  <c r="I45" i="33"/>
  <c r="E24" i="35" s="1"/>
  <c r="M92" i="35" s="1"/>
  <c r="N92" i="35" s="1"/>
  <c r="C49" i="22"/>
  <c r="E49" i="22" s="1"/>
  <c r="D74" i="35"/>
  <c r="B55" i="35"/>
  <c r="C54" i="35"/>
  <c r="D54" i="35" s="1"/>
  <c r="C73" i="35"/>
  <c r="F73" i="35"/>
  <c r="E72" i="35"/>
  <c r="A54" i="35"/>
  <c r="A74" i="35"/>
  <c r="A96" i="35" s="1"/>
  <c r="I48" i="33"/>
  <c r="C52" i="34"/>
  <c r="D52" i="34" s="1"/>
  <c r="C72" i="34"/>
  <c r="E72" i="34" s="1"/>
  <c r="B54" i="34"/>
  <c r="C53" i="34"/>
  <c r="D53" i="34" s="1"/>
  <c r="D73" i="34"/>
  <c r="F73" i="34" s="1"/>
  <c r="A73" i="34"/>
  <c r="A95" i="34" s="1"/>
  <c r="A53" i="34"/>
  <c r="I30" i="33"/>
  <c r="I28" i="33" s="1"/>
  <c r="C48" i="22"/>
  <c r="E48" i="22" s="1"/>
  <c r="I25" i="33"/>
  <c r="E24" i="34" s="1"/>
  <c r="M92" i="34" s="1"/>
  <c r="N92" i="34" s="1"/>
  <c r="C8" i="32"/>
  <c r="J26" i="22" l="1"/>
  <c r="G27" i="22"/>
  <c r="E5" i="35"/>
  <c r="E51" i="35" s="1"/>
  <c r="C73" i="34"/>
  <c r="E73" i="34" s="1"/>
  <c r="G72" i="35"/>
  <c r="H72" i="35" s="1"/>
  <c r="D75" i="35"/>
  <c r="B56" i="35"/>
  <c r="C55" i="35"/>
  <c r="D55" i="35" s="1"/>
  <c r="A75" i="35"/>
  <c r="A97" i="35" s="1"/>
  <c r="A55" i="35"/>
  <c r="E73" i="35"/>
  <c r="F74" i="35"/>
  <c r="C74" i="35"/>
  <c r="G26" i="22"/>
  <c r="E5" i="34"/>
  <c r="E51" i="34" s="1"/>
  <c r="B55" i="34"/>
  <c r="C54" i="34"/>
  <c r="D54" i="34" s="1"/>
  <c r="D74" i="34"/>
  <c r="F74" i="34" s="1"/>
  <c r="A54" i="34"/>
  <c r="A74" i="34"/>
  <c r="A96" i="34" s="1"/>
  <c r="G72" i="34"/>
  <c r="H72" i="34" s="1"/>
  <c r="I7" i="32"/>
  <c r="J71" i="35" l="1"/>
  <c r="F51" i="35"/>
  <c r="H51" i="35"/>
  <c r="E52" i="35"/>
  <c r="E74" i="35"/>
  <c r="A56" i="35"/>
  <c r="A76" i="35"/>
  <c r="A98" i="35" s="1"/>
  <c r="F75" i="35"/>
  <c r="C75" i="35"/>
  <c r="G73" i="35"/>
  <c r="H73" i="35" s="1"/>
  <c r="C56" i="35"/>
  <c r="D56" i="35" s="1"/>
  <c r="D76" i="35"/>
  <c r="B57" i="35"/>
  <c r="C74" i="34"/>
  <c r="E74" i="34" s="1"/>
  <c r="F51" i="34"/>
  <c r="J71" i="34"/>
  <c r="H51" i="34"/>
  <c r="E52" i="34"/>
  <c r="C55" i="34"/>
  <c r="D55" i="34" s="1"/>
  <c r="B56" i="34"/>
  <c r="D75" i="34"/>
  <c r="F75" i="34" s="1"/>
  <c r="G73" i="34"/>
  <c r="H73" i="34" s="1"/>
  <c r="A75" i="34"/>
  <c r="A97" i="34" s="1"/>
  <c r="A55" i="34"/>
  <c r="F7" i="32"/>
  <c r="N7" i="32" s="1"/>
  <c r="C7" i="32"/>
  <c r="L6" i="32"/>
  <c r="F7" i="22"/>
  <c r="M6" i="32"/>
  <c r="F6" i="32"/>
  <c r="H6" i="32"/>
  <c r="B6" i="32"/>
  <c r="H52" i="35" l="1"/>
  <c r="J72" i="35"/>
  <c r="F52" i="35"/>
  <c r="B72" i="35"/>
  <c r="M93" i="35" s="1"/>
  <c r="E53" i="35"/>
  <c r="I51" i="35"/>
  <c r="G51" i="35"/>
  <c r="J51" i="35" s="1"/>
  <c r="G7" i="32"/>
  <c r="O7" i="32" s="1"/>
  <c r="G8" i="22" s="1"/>
  <c r="I18" i="7" s="1"/>
  <c r="L71" i="35"/>
  <c r="E93" i="35" s="1"/>
  <c r="I71" i="35"/>
  <c r="C93" i="35"/>
  <c r="B58" i="35"/>
  <c r="D77" i="35"/>
  <c r="C57" i="35"/>
  <c r="D57" i="35" s="1"/>
  <c r="A77" i="35"/>
  <c r="A99" i="35" s="1"/>
  <c r="A57" i="35"/>
  <c r="F76" i="35"/>
  <c r="C76" i="35"/>
  <c r="E75" i="35"/>
  <c r="G74" i="35"/>
  <c r="H74" i="35" s="1"/>
  <c r="C75" i="34"/>
  <c r="H52" i="34"/>
  <c r="E53" i="34"/>
  <c r="B72" i="34"/>
  <c r="M93" i="34" s="1"/>
  <c r="J72" i="34"/>
  <c r="F52" i="34"/>
  <c r="L71" i="34"/>
  <c r="E93" i="34" s="1"/>
  <c r="C93" i="34"/>
  <c r="I71" i="34"/>
  <c r="I51" i="34"/>
  <c r="G51" i="34"/>
  <c r="J51" i="34" s="1"/>
  <c r="B57" i="34"/>
  <c r="C56" i="34"/>
  <c r="D56" i="34" s="1"/>
  <c r="D76" i="34"/>
  <c r="A56" i="34"/>
  <c r="A76" i="34"/>
  <c r="A98" i="34" s="1"/>
  <c r="E75" i="34"/>
  <c r="G74" i="34"/>
  <c r="H74" i="34" s="1"/>
  <c r="I54" i="15"/>
  <c r="I32" i="15"/>
  <c r="I52" i="23"/>
  <c r="I31" i="23"/>
  <c r="I51" i="29"/>
  <c r="I30" i="29"/>
  <c r="I52" i="11"/>
  <c r="I31" i="11"/>
  <c r="I52" i="26"/>
  <c r="I31" i="26"/>
  <c r="I53" i="18"/>
  <c r="I32" i="18"/>
  <c r="I50" i="7"/>
  <c r="I30" i="7"/>
  <c r="I53" i="3"/>
  <c r="I32" i="3"/>
  <c r="L64" i="31"/>
  <c r="K64" i="31"/>
  <c r="L63" i="31"/>
  <c r="K63" i="31"/>
  <c r="L62" i="31"/>
  <c r="K62" i="31"/>
  <c r="L61" i="31"/>
  <c r="K61" i="31"/>
  <c r="L60" i="31"/>
  <c r="K60" i="31"/>
  <c r="L59" i="31"/>
  <c r="K59" i="31"/>
  <c r="L58" i="31"/>
  <c r="K58" i="31"/>
  <c r="L57" i="31"/>
  <c r="K57" i="31"/>
  <c r="L56" i="31"/>
  <c r="K56" i="31"/>
  <c r="L55" i="31"/>
  <c r="K55" i="31"/>
  <c r="L54" i="31"/>
  <c r="K54" i="31"/>
  <c r="L53" i="31"/>
  <c r="K53" i="31"/>
  <c r="L52" i="31"/>
  <c r="K52" i="31"/>
  <c r="L51" i="31"/>
  <c r="K51" i="31"/>
  <c r="L50" i="31"/>
  <c r="K50" i="31"/>
  <c r="C50" i="31"/>
  <c r="D50" i="31" s="1"/>
  <c r="A50" i="31"/>
  <c r="R23" i="31"/>
  <c r="R22" i="31"/>
  <c r="R20" i="31"/>
  <c r="R19" i="31"/>
  <c r="R17" i="31"/>
  <c r="Q13" i="31"/>
  <c r="G9" i="31"/>
  <c r="G8" i="31"/>
  <c r="I56" i="29"/>
  <c r="E19" i="31" s="1"/>
  <c r="I55" i="29"/>
  <c r="E21" i="31" s="1"/>
  <c r="G47" i="29"/>
  <c r="C42" i="29"/>
  <c r="E19" i="30"/>
  <c r="L64" i="30"/>
  <c r="K64" i="30"/>
  <c r="L63" i="30"/>
  <c r="K63" i="30"/>
  <c r="L62" i="30"/>
  <c r="K62" i="30"/>
  <c r="L61" i="30"/>
  <c r="K61" i="30"/>
  <c r="L60" i="30"/>
  <c r="K60" i="30"/>
  <c r="L59" i="30"/>
  <c r="K59" i="30"/>
  <c r="L58" i="30"/>
  <c r="K58" i="30"/>
  <c r="L57" i="30"/>
  <c r="K57" i="30"/>
  <c r="L56" i="30"/>
  <c r="K56" i="30"/>
  <c r="L55" i="30"/>
  <c r="K55" i="30"/>
  <c r="L54" i="30"/>
  <c r="K54" i="30"/>
  <c r="L53" i="30"/>
  <c r="K53" i="30"/>
  <c r="L52" i="30"/>
  <c r="K52" i="30"/>
  <c r="L51" i="30"/>
  <c r="K51" i="30"/>
  <c r="L50" i="30"/>
  <c r="K50" i="30"/>
  <c r="C50" i="30"/>
  <c r="D50" i="30" s="1"/>
  <c r="A50" i="30"/>
  <c r="R23" i="30"/>
  <c r="R22" i="30"/>
  <c r="R20" i="30"/>
  <c r="R19" i="30"/>
  <c r="R17" i="30"/>
  <c r="Q13" i="30"/>
  <c r="G9" i="30"/>
  <c r="G8" i="30"/>
  <c r="G26" i="29"/>
  <c r="C21" i="29"/>
  <c r="I19" i="29"/>
  <c r="I18" i="29"/>
  <c r="E12" i="22"/>
  <c r="I15" i="29"/>
  <c r="I14" i="29"/>
  <c r="I13" i="29"/>
  <c r="I12" i="29"/>
  <c r="I44" i="29" s="1"/>
  <c r="D53" i="22" s="1"/>
  <c r="I11" i="29"/>
  <c r="I10" i="29"/>
  <c r="I9" i="29"/>
  <c r="I8" i="29"/>
  <c r="I7" i="29"/>
  <c r="I6" i="29"/>
  <c r="I5" i="29"/>
  <c r="I53" i="29"/>
  <c r="I35" i="29"/>
  <c r="I34" i="29"/>
  <c r="E21" i="30" s="1"/>
  <c r="I32" i="29"/>
  <c r="C18" i="29"/>
  <c r="I58" i="29"/>
  <c r="I57" i="26"/>
  <c r="E19" i="28" s="1"/>
  <c r="I56" i="26"/>
  <c r="E21" i="28" s="1"/>
  <c r="I36" i="26"/>
  <c r="E19" i="27" s="1"/>
  <c r="I35" i="26"/>
  <c r="E21" i="27" s="1"/>
  <c r="G48" i="26"/>
  <c r="C43" i="26"/>
  <c r="G27" i="26"/>
  <c r="C22" i="26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L54" i="28"/>
  <c r="K54" i="28"/>
  <c r="L53" i="28"/>
  <c r="K53" i="28"/>
  <c r="L52" i="28"/>
  <c r="K52" i="28"/>
  <c r="L51" i="28"/>
  <c r="K51" i="28"/>
  <c r="L50" i="28"/>
  <c r="K50" i="28"/>
  <c r="C50" i="28"/>
  <c r="D50" i="28" s="1"/>
  <c r="A50" i="28"/>
  <c r="R23" i="28"/>
  <c r="R22" i="28"/>
  <c r="R20" i="28"/>
  <c r="R19" i="28"/>
  <c r="R17" i="28"/>
  <c r="Q13" i="28"/>
  <c r="G9" i="28"/>
  <c r="G8" i="28"/>
  <c r="L64" i="27"/>
  <c r="K64" i="27"/>
  <c r="L63" i="27"/>
  <c r="K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4" i="27"/>
  <c r="K54" i="27"/>
  <c r="L53" i="27"/>
  <c r="K53" i="27"/>
  <c r="L52" i="27"/>
  <c r="K52" i="27"/>
  <c r="L51" i="27"/>
  <c r="K51" i="27"/>
  <c r="L50" i="27"/>
  <c r="K50" i="27"/>
  <c r="C50" i="27"/>
  <c r="D50" i="27" s="1"/>
  <c r="A50" i="27"/>
  <c r="R23" i="27"/>
  <c r="R22" i="27"/>
  <c r="R20" i="27"/>
  <c r="R19" i="27"/>
  <c r="R17" i="27"/>
  <c r="Q13" i="27"/>
  <c r="G9" i="27"/>
  <c r="G8" i="27"/>
  <c r="I56" i="23"/>
  <c r="E21" i="25" s="1"/>
  <c r="I57" i="23"/>
  <c r="E19" i="25" s="1"/>
  <c r="C43" i="23"/>
  <c r="I35" i="23"/>
  <c r="E21" i="24" s="1"/>
  <c r="I36" i="23"/>
  <c r="E19" i="24" s="1"/>
  <c r="I20" i="26"/>
  <c r="I19" i="26"/>
  <c r="E21" i="26"/>
  <c r="C21" i="26"/>
  <c r="E11" i="22"/>
  <c r="I16" i="26"/>
  <c r="I59" i="26" s="1"/>
  <c r="I15" i="26"/>
  <c r="I14" i="26"/>
  <c r="I13" i="26"/>
  <c r="I24" i="26" s="1"/>
  <c r="D50" i="22" s="1"/>
  <c r="I12" i="26"/>
  <c r="I11" i="26"/>
  <c r="I10" i="26"/>
  <c r="I9" i="26"/>
  <c r="I8" i="26"/>
  <c r="I7" i="26"/>
  <c r="I6" i="26"/>
  <c r="I5" i="26"/>
  <c r="I54" i="26"/>
  <c r="I33" i="26"/>
  <c r="G48" i="23"/>
  <c r="L64" i="25"/>
  <c r="K64" i="25"/>
  <c r="L63" i="25"/>
  <c r="K63" i="25"/>
  <c r="L62" i="25"/>
  <c r="K62" i="25"/>
  <c r="L61" i="25"/>
  <c r="K61" i="25"/>
  <c r="L60" i="25"/>
  <c r="K60" i="25"/>
  <c r="L59" i="25"/>
  <c r="K59" i="25"/>
  <c r="L58" i="25"/>
  <c r="K58" i="25"/>
  <c r="L57" i="25"/>
  <c r="K57" i="25"/>
  <c r="L56" i="25"/>
  <c r="K56" i="25"/>
  <c r="L55" i="25"/>
  <c r="K55" i="25"/>
  <c r="L54" i="25"/>
  <c r="K54" i="25"/>
  <c r="L53" i="25"/>
  <c r="K53" i="25"/>
  <c r="L52" i="25"/>
  <c r="K52" i="25"/>
  <c r="L51" i="25"/>
  <c r="K51" i="25"/>
  <c r="L50" i="25"/>
  <c r="K50" i="25"/>
  <c r="D50" i="25"/>
  <c r="C50" i="25"/>
  <c r="A50" i="25"/>
  <c r="A71" i="25" s="1"/>
  <c r="A93" i="25" s="1"/>
  <c r="R23" i="25"/>
  <c r="R22" i="25"/>
  <c r="R20" i="25"/>
  <c r="R19" i="25"/>
  <c r="R17" i="25"/>
  <c r="Q13" i="25"/>
  <c r="G9" i="25"/>
  <c r="G8" i="25"/>
  <c r="I54" i="23"/>
  <c r="G27" i="23"/>
  <c r="C22" i="23"/>
  <c r="L64" i="24"/>
  <c r="K64" i="24"/>
  <c r="L63" i="24"/>
  <c r="K63" i="24"/>
  <c r="L62" i="24"/>
  <c r="K62" i="24"/>
  <c r="L61" i="24"/>
  <c r="K61" i="24"/>
  <c r="L60" i="24"/>
  <c r="K60" i="24"/>
  <c r="L59" i="24"/>
  <c r="K59" i="24"/>
  <c r="L58" i="24"/>
  <c r="K58" i="24"/>
  <c r="L57" i="24"/>
  <c r="K57" i="24"/>
  <c r="L56" i="24"/>
  <c r="K56" i="24"/>
  <c r="L55" i="24"/>
  <c r="K55" i="24"/>
  <c r="L54" i="24"/>
  <c r="K54" i="24"/>
  <c r="L53" i="24"/>
  <c r="K53" i="24"/>
  <c r="L52" i="24"/>
  <c r="K52" i="24"/>
  <c r="L51" i="24"/>
  <c r="K51" i="24"/>
  <c r="L50" i="24"/>
  <c r="K50" i="24"/>
  <c r="D50" i="24"/>
  <c r="C50" i="24"/>
  <c r="A50" i="24"/>
  <c r="A71" i="24" s="1"/>
  <c r="A93" i="24" s="1"/>
  <c r="R23" i="24"/>
  <c r="R22" i="24"/>
  <c r="R20" i="24"/>
  <c r="R19" i="24"/>
  <c r="R17" i="24"/>
  <c r="Q13" i="24"/>
  <c r="G9" i="24"/>
  <c r="G8" i="24"/>
  <c r="I33" i="23"/>
  <c r="I20" i="23"/>
  <c r="I19" i="23"/>
  <c r="E21" i="23"/>
  <c r="C21" i="23"/>
  <c r="E14" i="22"/>
  <c r="I16" i="23"/>
  <c r="I59" i="23" s="1"/>
  <c r="I15" i="23"/>
  <c r="I14" i="23"/>
  <c r="I13" i="23"/>
  <c r="I24" i="23" s="1"/>
  <c r="D56" i="22" s="1"/>
  <c r="I9" i="23"/>
  <c r="I10" i="23"/>
  <c r="I12" i="23"/>
  <c r="I11" i="23"/>
  <c r="I8" i="23"/>
  <c r="I7" i="23"/>
  <c r="I6" i="23"/>
  <c r="I5" i="23"/>
  <c r="I59" i="15"/>
  <c r="I58" i="15"/>
  <c r="F44" i="15"/>
  <c r="C44" i="15"/>
  <c r="F22" i="15"/>
  <c r="C22" i="15"/>
  <c r="E21" i="15"/>
  <c r="C21" i="15"/>
  <c r="E15" i="22"/>
  <c r="I57" i="11"/>
  <c r="I56" i="11"/>
  <c r="G48" i="11"/>
  <c r="C43" i="11"/>
  <c r="I36" i="11"/>
  <c r="I35" i="11"/>
  <c r="G27" i="11"/>
  <c r="C22" i="11"/>
  <c r="E13" i="22"/>
  <c r="I57" i="18"/>
  <c r="I56" i="18"/>
  <c r="D47" i="22"/>
  <c r="G49" i="18"/>
  <c r="F43" i="18"/>
  <c r="C43" i="18"/>
  <c r="I35" i="18"/>
  <c r="I36" i="18"/>
  <c r="D46" i="22"/>
  <c r="G28" i="18"/>
  <c r="C22" i="18"/>
  <c r="I20" i="18"/>
  <c r="I19" i="18"/>
  <c r="C19" i="18"/>
  <c r="G44" i="18" s="1"/>
  <c r="E9" i="22"/>
  <c r="I54" i="7"/>
  <c r="I53" i="7"/>
  <c r="E21" i="9" s="1"/>
  <c r="G46" i="7"/>
  <c r="C41" i="7"/>
  <c r="I34" i="7"/>
  <c r="I33" i="7"/>
  <c r="E21" i="8" s="1"/>
  <c r="G26" i="7"/>
  <c r="C21" i="7"/>
  <c r="I19" i="7"/>
  <c r="C18" i="7"/>
  <c r="E8" i="22"/>
  <c r="I57" i="3"/>
  <c r="I56" i="3"/>
  <c r="I36" i="3"/>
  <c r="I35" i="3"/>
  <c r="G28" i="3"/>
  <c r="F43" i="3"/>
  <c r="C43" i="3"/>
  <c r="C22" i="3"/>
  <c r="I20" i="3"/>
  <c r="I19" i="3"/>
  <c r="E7" i="22"/>
  <c r="C19" i="3" s="1"/>
  <c r="I16" i="15"/>
  <c r="I15" i="15"/>
  <c r="I14" i="15"/>
  <c r="I13" i="15"/>
  <c r="I12" i="15"/>
  <c r="I11" i="15"/>
  <c r="I10" i="15"/>
  <c r="I9" i="15"/>
  <c r="I8" i="15"/>
  <c r="I7" i="15"/>
  <c r="I6" i="15"/>
  <c r="I5" i="15"/>
  <c r="I16" i="11"/>
  <c r="I15" i="11"/>
  <c r="I14" i="11"/>
  <c r="I12" i="11"/>
  <c r="I11" i="11"/>
  <c r="I10" i="11"/>
  <c r="I9" i="11"/>
  <c r="I8" i="11"/>
  <c r="I7" i="11"/>
  <c r="I6" i="11"/>
  <c r="I5" i="11"/>
  <c r="I16" i="18"/>
  <c r="I15" i="18"/>
  <c r="I14" i="18"/>
  <c r="I15" i="7"/>
  <c r="I56" i="7" s="1"/>
  <c r="I14" i="7"/>
  <c r="I55" i="7" s="1"/>
  <c r="I13" i="7"/>
  <c r="I35" i="7" s="1"/>
  <c r="I60" i="3"/>
  <c r="I59" i="3"/>
  <c r="I58" i="3"/>
  <c r="I38" i="3"/>
  <c r="I37" i="3"/>
  <c r="I12" i="7"/>
  <c r="I11" i="7"/>
  <c r="I10" i="7"/>
  <c r="I9" i="7"/>
  <c r="I8" i="7"/>
  <c r="I7" i="7"/>
  <c r="I6" i="7"/>
  <c r="I5" i="7"/>
  <c r="I4" i="7"/>
  <c r="I13" i="3"/>
  <c r="I12" i="3"/>
  <c r="I11" i="3"/>
  <c r="I10" i="3"/>
  <c r="I9" i="3"/>
  <c r="I8" i="3"/>
  <c r="I7" i="3"/>
  <c r="I6" i="3"/>
  <c r="I5" i="3"/>
  <c r="I56" i="15"/>
  <c r="I34" i="15"/>
  <c r="I30" i="15" s="1"/>
  <c r="I51" i="7"/>
  <c r="I54" i="3"/>
  <c r="I33" i="3"/>
  <c r="I52" i="35" l="1"/>
  <c r="G52" i="35"/>
  <c r="J52" i="35" s="1"/>
  <c r="K71" i="35"/>
  <c r="B93" i="35"/>
  <c r="J93" i="35" s="1"/>
  <c r="L72" i="35"/>
  <c r="E94" i="35" s="1"/>
  <c r="C94" i="35"/>
  <c r="I72" i="35"/>
  <c r="B73" i="35"/>
  <c r="M94" i="35" s="1"/>
  <c r="E54" i="35"/>
  <c r="F53" i="35"/>
  <c r="H53" i="35"/>
  <c r="J73" i="35"/>
  <c r="E76" i="35"/>
  <c r="C77" i="35"/>
  <c r="F77" i="35"/>
  <c r="G75" i="35"/>
  <c r="H75" i="35" s="1"/>
  <c r="A78" i="35"/>
  <c r="A100" i="35" s="1"/>
  <c r="A58" i="35"/>
  <c r="D78" i="35"/>
  <c r="C58" i="35"/>
  <c r="D58" i="35" s="1"/>
  <c r="B59" i="35"/>
  <c r="I52" i="34"/>
  <c r="G52" i="34"/>
  <c r="J52" i="34" s="1"/>
  <c r="B93" i="34"/>
  <c r="J93" i="34" s="1"/>
  <c r="K71" i="34"/>
  <c r="D93" i="34" s="1"/>
  <c r="I93" i="34" s="1"/>
  <c r="C94" i="34"/>
  <c r="L72" i="34"/>
  <c r="E94" i="34" s="1"/>
  <c r="I72" i="34"/>
  <c r="B73" i="34"/>
  <c r="M94" i="34" s="1"/>
  <c r="H53" i="34"/>
  <c r="F53" i="34"/>
  <c r="E54" i="34"/>
  <c r="J73" i="34"/>
  <c r="D77" i="34"/>
  <c r="B58" i="34"/>
  <c r="C57" i="34"/>
  <c r="D57" i="34" s="1"/>
  <c r="C76" i="34"/>
  <c r="E76" i="34" s="1"/>
  <c r="G76" i="34" s="1"/>
  <c r="F76" i="34"/>
  <c r="A77" i="34"/>
  <c r="A99" i="34" s="1"/>
  <c r="A57" i="34"/>
  <c r="G75" i="34"/>
  <c r="H75" i="34" s="1"/>
  <c r="I20" i="29"/>
  <c r="J12" i="22" s="1"/>
  <c r="C19" i="15"/>
  <c r="G24" i="15" s="1"/>
  <c r="I24" i="15" s="1"/>
  <c r="G42" i="7"/>
  <c r="G45" i="18"/>
  <c r="I29" i="23"/>
  <c r="E7" i="24" s="1"/>
  <c r="B51" i="24" s="1"/>
  <c r="C51" i="24" s="1"/>
  <c r="D51" i="24" s="1"/>
  <c r="I29" i="26"/>
  <c r="E7" i="27" s="1"/>
  <c r="B51" i="27" s="1"/>
  <c r="B52" i="27" s="1"/>
  <c r="B53" i="27" s="1"/>
  <c r="I49" i="29"/>
  <c r="E7" i="31" s="1"/>
  <c r="B51" i="31" s="1"/>
  <c r="B52" i="31" s="1"/>
  <c r="B53" i="31" s="1"/>
  <c r="I28" i="29"/>
  <c r="E7" i="30" s="1"/>
  <c r="B51" i="30" s="1"/>
  <c r="B52" i="30" s="1"/>
  <c r="A71" i="31"/>
  <c r="A93" i="31" s="1"/>
  <c r="A51" i="31"/>
  <c r="A71" i="30"/>
  <c r="A93" i="30" s="1"/>
  <c r="A51" i="30"/>
  <c r="I23" i="29"/>
  <c r="D52" i="22" s="1"/>
  <c r="I37" i="29"/>
  <c r="G22" i="29"/>
  <c r="E10" i="30" s="1"/>
  <c r="B71" i="30" s="1"/>
  <c r="G43" i="29"/>
  <c r="E10" i="31" s="1"/>
  <c r="B71" i="31" s="1"/>
  <c r="C19" i="29"/>
  <c r="I50" i="26"/>
  <c r="E7" i="28" s="1"/>
  <c r="B51" i="28" s="1"/>
  <c r="B52" i="28" s="1"/>
  <c r="B53" i="28" s="1"/>
  <c r="A71" i="28"/>
  <c r="A93" i="28" s="1"/>
  <c r="A51" i="28"/>
  <c r="A71" i="27"/>
  <c r="A93" i="27" s="1"/>
  <c r="A51" i="27"/>
  <c r="C19" i="26"/>
  <c r="G23" i="26" s="1"/>
  <c r="I45" i="23"/>
  <c r="D57" i="22" s="1"/>
  <c r="I45" i="26"/>
  <c r="D51" i="22" s="1"/>
  <c r="C20" i="26"/>
  <c r="I38" i="26"/>
  <c r="A51" i="25"/>
  <c r="A51" i="24"/>
  <c r="I50" i="23"/>
  <c r="E7" i="25" s="1"/>
  <c r="B51" i="25" s="1"/>
  <c r="C51" i="25" s="1"/>
  <c r="D51" i="25" s="1"/>
  <c r="G46" i="15"/>
  <c r="I46" i="15" s="1"/>
  <c r="C19" i="23"/>
  <c r="G44" i="23" s="1"/>
  <c r="E10" i="25" s="1"/>
  <c r="B71" i="25" s="1"/>
  <c r="I38" i="23"/>
  <c r="I52" i="15"/>
  <c r="G23" i="15"/>
  <c r="I48" i="7"/>
  <c r="I51" i="3"/>
  <c r="I30" i="3"/>
  <c r="I21" i="3"/>
  <c r="I36" i="7"/>
  <c r="I31" i="7"/>
  <c r="I28" i="7" s="1"/>
  <c r="I33" i="18"/>
  <c r="I30" i="18" s="1"/>
  <c r="I54" i="18"/>
  <c r="I51" i="18" s="1"/>
  <c r="I54" i="11"/>
  <c r="I50" i="11" s="1"/>
  <c r="I33" i="11"/>
  <c r="I29" i="11" s="1"/>
  <c r="C95" i="35" l="1"/>
  <c r="L73" i="35"/>
  <c r="E95" i="35" s="1"/>
  <c r="I73" i="35"/>
  <c r="K72" i="35"/>
  <c r="B94" i="35"/>
  <c r="J94" i="35" s="1"/>
  <c r="D93" i="35"/>
  <c r="H93" i="35" s="1"/>
  <c r="I93" i="35"/>
  <c r="M71" i="35"/>
  <c r="I53" i="35"/>
  <c r="G53" i="35"/>
  <c r="J53" i="35" s="1"/>
  <c r="D71" i="30"/>
  <c r="D72" i="30" s="1"/>
  <c r="B74" i="35"/>
  <c r="M95" i="35" s="1"/>
  <c r="E55" i="35"/>
  <c r="F54" i="35"/>
  <c r="J74" i="35"/>
  <c r="H54" i="35"/>
  <c r="A79" i="35"/>
  <c r="A101" i="35" s="1"/>
  <c r="A59" i="35"/>
  <c r="E77" i="35"/>
  <c r="C78" i="35"/>
  <c r="F78" i="35"/>
  <c r="G76" i="35"/>
  <c r="H76" i="35" s="1"/>
  <c r="C59" i="35"/>
  <c r="D59" i="35" s="1"/>
  <c r="D79" i="35"/>
  <c r="B60" i="35"/>
  <c r="H93" i="34"/>
  <c r="M71" i="34" s="1"/>
  <c r="F93" i="34" s="1"/>
  <c r="H76" i="34"/>
  <c r="I73" i="34"/>
  <c r="L73" i="34"/>
  <c r="E95" i="34" s="1"/>
  <c r="C95" i="34"/>
  <c r="J74" i="34"/>
  <c r="H54" i="34"/>
  <c r="B74" i="34"/>
  <c r="M95" i="34" s="1"/>
  <c r="E55" i="34"/>
  <c r="F54" i="34"/>
  <c r="B94" i="34"/>
  <c r="J94" i="34" s="1"/>
  <c r="K72" i="34"/>
  <c r="D94" i="34" s="1"/>
  <c r="H94" i="34" s="1"/>
  <c r="K94" i="34" s="1"/>
  <c r="I53" i="34"/>
  <c r="G53" i="34"/>
  <c r="J53" i="34" s="1"/>
  <c r="F77" i="34"/>
  <c r="C77" i="34"/>
  <c r="E77" i="34" s="1"/>
  <c r="G77" i="34" s="1"/>
  <c r="H77" i="34" s="1"/>
  <c r="C58" i="34"/>
  <c r="D58" i="34" s="1"/>
  <c r="D78" i="34"/>
  <c r="B59" i="34"/>
  <c r="A58" i="34"/>
  <c r="A78" i="34"/>
  <c r="A100" i="34" s="1"/>
  <c r="D71" i="24"/>
  <c r="C71" i="24" s="1"/>
  <c r="C51" i="31"/>
  <c r="D51" i="31" s="1"/>
  <c r="D71" i="31"/>
  <c r="D72" i="31" s="1"/>
  <c r="F72" i="31" s="1"/>
  <c r="I44" i="23"/>
  <c r="C57" i="22" s="1"/>
  <c r="E57" i="22" s="1"/>
  <c r="C52" i="27"/>
  <c r="D52" i="27" s="1"/>
  <c r="C52" i="31"/>
  <c r="D52" i="31" s="1"/>
  <c r="C20" i="23"/>
  <c r="B52" i="24"/>
  <c r="C52" i="24" s="1"/>
  <c r="D52" i="24" s="1"/>
  <c r="D71" i="27"/>
  <c r="D72" i="27" s="1"/>
  <c r="F72" i="27" s="1"/>
  <c r="C51" i="27"/>
  <c r="D51" i="27" s="1"/>
  <c r="C51" i="30"/>
  <c r="D51" i="30" s="1"/>
  <c r="I21" i="26"/>
  <c r="J11" i="22" s="1"/>
  <c r="G44" i="26"/>
  <c r="E10" i="28" s="1"/>
  <c r="B71" i="28" s="1"/>
  <c r="I31" i="3"/>
  <c r="I52" i="3"/>
  <c r="A52" i="31"/>
  <c r="A72" i="31"/>
  <c r="A94" i="31" s="1"/>
  <c r="B54" i="31"/>
  <c r="C53" i="31"/>
  <c r="D53" i="31" s="1"/>
  <c r="F71" i="31"/>
  <c r="A52" i="30"/>
  <c r="A72" i="30"/>
  <c r="A94" i="30" s="1"/>
  <c r="B53" i="30"/>
  <c r="C52" i="30"/>
  <c r="D52" i="30" s="1"/>
  <c r="C71" i="30"/>
  <c r="I43" i="29"/>
  <c r="I57" i="29"/>
  <c r="E25" i="31" s="1"/>
  <c r="I29" i="29"/>
  <c r="J30" i="22" s="1"/>
  <c r="I50" i="29"/>
  <c r="J31" i="22" s="1"/>
  <c r="I36" i="29"/>
  <c r="E25" i="30" s="1"/>
  <c r="I26" i="29"/>
  <c r="I22" i="29"/>
  <c r="I47" i="29"/>
  <c r="C51" i="28"/>
  <c r="D51" i="28" s="1"/>
  <c r="D71" i="28"/>
  <c r="F71" i="28" s="1"/>
  <c r="C52" i="28"/>
  <c r="D52" i="28" s="1"/>
  <c r="I37" i="26"/>
  <c r="E25" i="27" s="1"/>
  <c r="E10" i="27"/>
  <c r="B71" i="27" s="1"/>
  <c r="A52" i="28"/>
  <c r="A72" i="28"/>
  <c r="A94" i="28" s="1"/>
  <c r="B54" i="28"/>
  <c r="C53" i="28"/>
  <c r="D53" i="28" s="1"/>
  <c r="A52" i="27"/>
  <c r="A72" i="27"/>
  <c r="A94" i="27" s="1"/>
  <c r="B54" i="27"/>
  <c r="C53" i="27"/>
  <c r="D53" i="27" s="1"/>
  <c r="D73" i="27"/>
  <c r="C72" i="27"/>
  <c r="I27" i="26"/>
  <c r="I23" i="26"/>
  <c r="D71" i="25"/>
  <c r="C71" i="25" s="1"/>
  <c r="B52" i="25"/>
  <c r="B53" i="25" s="1"/>
  <c r="A72" i="25"/>
  <c r="A94" i="25" s="1"/>
  <c r="A52" i="25"/>
  <c r="I21" i="23"/>
  <c r="J14" i="22" s="1"/>
  <c r="G23" i="23"/>
  <c r="E10" i="24" s="1"/>
  <c r="B71" i="24" s="1"/>
  <c r="A72" i="24"/>
  <c r="A94" i="24" s="1"/>
  <c r="A52" i="24"/>
  <c r="E20" i="20"/>
  <c r="E19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K63" i="20"/>
  <c r="G8" i="20"/>
  <c r="L63" i="20"/>
  <c r="G9" i="20"/>
  <c r="K62" i="20"/>
  <c r="L62" i="20"/>
  <c r="K61" i="20"/>
  <c r="L61" i="20"/>
  <c r="K60" i="20"/>
  <c r="L60" i="20"/>
  <c r="K59" i="20"/>
  <c r="L59" i="20"/>
  <c r="K58" i="20"/>
  <c r="L58" i="20"/>
  <c r="K57" i="20"/>
  <c r="L57" i="20"/>
  <c r="K56" i="20"/>
  <c r="L56" i="20"/>
  <c r="K55" i="20"/>
  <c r="L55" i="20"/>
  <c r="K54" i="20"/>
  <c r="L54" i="20"/>
  <c r="K53" i="20"/>
  <c r="L53" i="20"/>
  <c r="K52" i="20"/>
  <c r="L52" i="20"/>
  <c r="K51" i="20"/>
  <c r="L51" i="20"/>
  <c r="K50" i="20"/>
  <c r="L50" i="20"/>
  <c r="K49" i="20"/>
  <c r="L49" i="20"/>
  <c r="A84" i="20"/>
  <c r="A106" i="20"/>
  <c r="A83" i="20"/>
  <c r="A105" i="20"/>
  <c r="A82" i="20"/>
  <c r="A104" i="20"/>
  <c r="A81" i="20"/>
  <c r="A103" i="20"/>
  <c r="A80" i="20"/>
  <c r="A102" i="20"/>
  <c r="A79" i="20"/>
  <c r="A101" i="20"/>
  <c r="A78" i="20"/>
  <c r="A100" i="20"/>
  <c r="A77" i="20"/>
  <c r="A99" i="20"/>
  <c r="A76" i="20"/>
  <c r="A98" i="20"/>
  <c r="A75" i="20"/>
  <c r="A97" i="20"/>
  <c r="A74" i="20"/>
  <c r="A96" i="20"/>
  <c r="A73" i="20"/>
  <c r="A95" i="20"/>
  <c r="A72" i="20"/>
  <c r="A94" i="20"/>
  <c r="A71" i="20"/>
  <c r="A93" i="20"/>
  <c r="A70" i="20"/>
  <c r="A92" i="20"/>
  <c r="I45" i="18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G23" i="18"/>
  <c r="I23" i="18" s="1"/>
  <c r="G24" i="18"/>
  <c r="I24" i="18" s="1"/>
  <c r="E20" i="19"/>
  <c r="E19" i="19"/>
  <c r="E10" i="19"/>
  <c r="B70" i="19" s="1"/>
  <c r="E7" i="19"/>
  <c r="I21" i="18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G8" i="19"/>
  <c r="L63" i="19"/>
  <c r="G9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A84" i="19"/>
  <c r="A106" i="19"/>
  <c r="A83" i="19"/>
  <c r="A105" i="19"/>
  <c r="A82" i="19"/>
  <c r="A104" i="19"/>
  <c r="A81" i="19"/>
  <c r="A103" i="19"/>
  <c r="A80" i="19"/>
  <c r="A102" i="19"/>
  <c r="A79" i="19"/>
  <c r="A101" i="19"/>
  <c r="A78" i="19"/>
  <c r="A100" i="19"/>
  <c r="A77" i="19"/>
  <c r="A99" i="19"/>
  <c r="A76" i="19"/>
  <c r="A98" i="19"/>
  <c r="A75" i="19"/>
  <c r="A97" i="19"/>
  <c r="A74" i="19"/>
  <c r="A96" i="19"/>
  <c r="A73" i="19"/>
  <c r="A95" i="19"/>
  <c r="A72" i="19"/>
  <c r="A94" i="19"/>
  <c r="A71" i="19"/>
  <c r="A93" i="19"/>
  <c r="A70" i="19"/>
  <c r="A92" i="19"/>
  <c r="I49" i="18"/>
  <c r="F25" i="22" s="1"/>
  <c r="I46" i="18"/>
  <c r="I25" i="18"/>
  <c r="I21" i="15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I61" i="15"/>
  <c r="I47" i="15"/>
  <c r="D59" i="22" s="1"/>
  <c r="E20" i="17"/>
  <c r="E19" i="17"/>
  <c r="G8" i="17"/>
  <c r="E8" i="17"/>
  <c r="E7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L63" i="17"/>
  <c r="G9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A84" i="17"/>
  <c r="A106" i="17"/>
  <c r="A83" i="17"/>
  <c r="A105" i="17"/>
  <c r="A82" i="17"/>
  <c r="A104" i="17"/>
  <c r="A81" i="17"/>
  <c r="A103" i="17"/>
  <c r="A80" i="17"/>
  <c r="A102" i="17"/>
  <c r="A79" i="17"/>
  <c r="A101" i="17"/>
  <c r="A78" i="17"/>
  <c r="A100" i="17"/>
  <c r="A77" i="17"/>
  <c r="A99" i="17"/>
  <c r="A76" i="17"/>
  <c r="A98" i="17"/>
  <c r="A75" i="17"/>
  <c r="A97" i="17"/>
  <c r="A74" i="17"/>
  <c r="A96" i="17"/>
  <c r="A73" i="17"/>
  <c r="A95" i="17"/>
  <c r="A72" i="17"/>
  <c r="A94" i="17"/>
  <c r="A71" i="17"/>
  <c r="A93" i="17"/>
  <c r="A70" i="17"/>
  <c r="A92" i="17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E7" i="16"/>
  <c r="G8" i="16"/>
  <c r="G9" i="16"/>
  <c r="E19" i="16"/>
  <c r="E20" i="16"/>
  <c r="I25" i="15"/>
  <c r="D58" i="22" s="1"/>
  <c r="I39" i="15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A84" i="16"/>
  <c r="A106" i="16"/>
  <c r="A83" i="16"/>
  <c r="A105" i="16"/>
  <c r="A82" i="16"/>
  <c r="A104" i="16"/>
  <c r="A81" i="16"/>
  <c r="A103" i="16"/>
  <c r="A80" i="16"/>
  <c r="A102" i="16"/>
  <c r="A79" i="16"/>
  <c r="A101" i="16"/>
  <c r="A78" i="16"/>
  <c r="A100" i="16"/>
  <c r="A77" i="16"/>
  <c r="A99" i="16"/>
  <c r="A76" i="16"/>
  <c r="A98" i="16"/>
  <c r="A75" i="16"/>
  <c r="A97" i="16"/>
  <c r="A74" i="16"/>
  <c r="A96" i="16"/>
  <c r="A73" i="16"/>
  <c r="A95" i="16"/>
  <c r="A72" i="16"/>
  <c r="A94" i="16"/>
  <c r="A71" i="16"/>
  <c r="A93" i="16"/>
  <c r="A70" i="16"/>
  <c r="A92" i="16"/>
  <c r="C20" i="15"/>
  <c r="C19" i="11"/>
  <c r="I43" i="11"/>
  <c r="G44" i="11" s="1"/>
  <c r="D55" i="22"/>
  <c r="E7" i="14"/>
  <c r="I19" i="11"/>
  <c r="I20" i="11"/>
  <c r="I21" i="11" s="1"/>
  <c r="I53" i="11"/>
  <c r="G8" i="14" s="1"/>
  <c r="E8" i="14" s="1"/>
  <c r="G9" i="14"/>
  <c r="E19" i="14"/>
  <c r="E20" i="14"/>
  <c r="I59" i="11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A84" i="14"/>
  <c r="A106" i="14"/>
  <c r="A83" i="14"/>
  <c r="A105" i="14"/>
  <c r="A82" i="14"/>
  <c r="A104" i="14"/>
  <c r="A81" i="14"/>
  <c r="A103" i="14"/>
  <c r="A80" i="14"/>
  <c r="A102" i="14"/>
  <c r="A79" i="14"/>
  <c r="A101" i="14"/>
  <c r="A78" i="14"/>
  <c r="A100" i="14"/>
  <c r="A77" i="14"/>
  <c r="A99" i="14"/>
  <c r="A76" i="14"/>
  <c r="A98" i="14"/>
  <c r="A75" i="14"/>
  <c r="A97" i="14"/>
  <c r="A74" i="14"/>
  <c r="A96" i="14"/>
  <c r="A73" i="14"/>
  <c r="A95" i="14"/>
  <c r="A72" i="14"/>
  <c r="A94" i="14"/>
  <c r="A71" i="14"/>
  <c r="A93" i="14"/>
  <c r="A70" i="14"/>
  <c r="A92" i="14"/>
  <c r="I38" i="11"/>
  <c r="I22" i="11"/>
  <c r="G23" i="11" s="1"/>
  <c r="I27" i="11" s="1"/>
  <c r="E7" i="13"/>
  <c r="D54" i="22"/>
  <c r="I32" i="11"/>
  <c r="G8" i="13" s="1"/>
  <c r="E8" i="13" s="1"/>
  <c r="G9" i="13"/>
  <c r="E19" i="13"/>
  <c r="E20" i="13"/>
  <c r="S28" i="12"/>
  <c r="S27" i="12"/>
  <c r="R28" i="12"/>
  <c r="R27" i="12"/>
  <c r="R25" i="12"/>
  <c r="S25" i="12"/>
  <c r="R24" i="12"/>
  <c r="S24" i="12"/>
  <c r="R23" i="12"/>
  <c r="S23" i="12"/>
  <c r="R22" i="12"/>
  <c r="S22" i="12"/>
  <c r="R21" i="12"/>
  <c r="S21" i="12"/>
  <c r="R20" i="12"/>
  <c r="S20" i="12"/>
  <c r="R19" i="12"/>
  <c r="S19" i="12"/>
  <c r="R18" i="12"/>
  <c r="S18" i="12"/>
  <c r="R17" i="12"/>
  <c r="S17" i="12"/>
  <c r="R16" i="12"/>
  <c r="S16" i="12"/>
  <c r="R15" i="12"/>
  <c r="S15" i="12"/>
  <c r="R14" i="12"/>
  <c r="S14" i="12"/>
  <c r="R13" i="12"/>
  <c r="S13" i="12"/>
  <c r="R12" i="12"/>
  <c r="S12" i="12"/>
  <c r="R11" i="12"/>
  <c r="S11" i="12"/>
  <c r="R10" i="12"/>
  <c r="S10" i="12"/>
  <c r="R9" i="12"/>
  <c r="S9" i="12"/>
  <c r="R8" i="12"/>
  <c r="S8" i="12"/>
  <c r="R7" i="12"/>
  <c r="S7" i="12"/>
  <c r="S6" i="12"/>
  <c r="R6" i="12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A84" i="13"/>
  <c r="A106" i="13"/>
  <c r="A83" i="13"/>
  <c r="A105" i="13"/>
  <c r="A82" i="13"/>
  <c r="A104" i="13"/>
  <c r="A81" i="13"/>
  <c r="A103" i="13"/>
  <c r="A80" i="13"/>
  <c r="A102" i="13"/>
  <c r="A79" i="13"/>
  <c r="A101" i="13"/>
  <c r="A78" i="13"/>
  <c r="A100" i="13"/>
  <c r="A77" i="13"/>
  <c r="A99" i="13"/>
  <c r="A76" i="13"/>
  <c r="A98" i="13"/>
  <c r="A75" i="13"/>
  <c r="A97" i="13"/>
  <c r="A74" i="13"/>
  <c r="A96" i="13"/>
  <c r="A73" i="13"/>
  <c r="A95" i="13"/>
  <c r="A72" i="13"/>
  <c r="A94" i="13"/>
  <c r="A71" i="13"/>
  <c r="A93" i="13"/>
  <c r="A70" i="13"/>
  <c r="A92" i="13"/>
  <c r="C20" i="11"/>
  <c r="L28" i="12"/>
  <c r="K28" i="12"/>
  <c r="L27" i="12"/>
  <c r="K27" i="12"/>
  <c r="F27" i="12"/>
  <c r="F28" i="12"/>
  <c r="E28" i="12"/>
  <c r="W28" i="12"/>
  <c r="V28" i="12"/>
  <c r="T28" i="12"/>
  <c r="T27" i="12"/>
  <c r="N28" i="12"/>
  <c r="O28" i="12"/>
  <c r="X27" i="12"/>
  <c r="W27" i="12"/>
  <c r="V27" i="12"/>
  <c r="N27" i="12"/>
  <c r="O27" i="12"/>
  <c r="N26" i="12"/>
  <c r="O26" i="12"/>
  <c r="N25" i="12"/>
  <c r="O25" i="12"/>
  <c r="N24" i="12"/>
  <c r="O24" i="12"/>
  <c r="N23" i="12"/>
  <c r="O23" i="12"/>
  <c r="N22" i="12"/>
  <c r="O22" i="12"/>
  <c r="N21" i="12"/>
  <c r="O21" i="12"/>
  <c r="N20" i="12"/>
  <c r="O20" i="12"/>
  <c r="N19" i="12"/>
  <c r="O19" i="12"/>
  <c r="N18" i="12"/>
  <c r="O18" i="12"/>
  <c r="N17" i="12"/>
  <c r="O17" i="12"/>
  <c r="N16" i="12"/>
  <c r="O16" i="12"/>
  <c r="N15" i="12"/>
  <c r="O15" i="12"/>
  <c r="N14" i="12"/>
  <c r="O14" i="12"/>
  <c r="N13" i="12"/>
  <c r="O13" i="12"/>
  <c r="N12" i="12"/>
  <c r="O12" i="12"/>
  <c r="N11" i="12"/>
  <c r="O11" i="12"/>
  <c r="N10" i="12"/>
  <c r="O10" i="12"/>
  <c r="N9" i="12"/>
  <c r="O9" i="12"/>
  <c r="N8" i="12"/>
  <c r="O8" i="12"/>
  <c r="N7" i="12"/>
  <c r="O7" i="12"/>
  <c r="O6" i="12"/>
  <c r="N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L35" i="10"/>
  <c r="L36" i="10"/>
  <c r="L37" i="10"/>
  <c r="L38" i="10"/>
  <c r="L39" i="10"/>
  <c r="L40" i="10"/>
  <c r="L41" i="10"/>
  <c r="M41" i="10"/>
  <c r="K49" i="6"/>
  <c r="E8" i="10"/>
  <c r="D8" i="10"/>
  <c r="E9" i="10"/>
  <c r="D9" i="10"/>
  <c r="E10" i="10"/>
  <c r="D10" i="10"/>
  <c r="E11" i="10"/>
  <c r="D11" i="10"/>
  <c r="E12" i="10"/>
  <c r="D12" i="10"/>
  <c r="E13" i="10"/>
  <c r="D13" i="10"/>
  <c r="D14" i="10"/>
  <c r="E14" i="10"/>
  <c r="F14" i="10"/>
  <c r="L49" i="6"/>
  <c r="L42" i="10"/>
  <c r="M42" i="10"/>
  <c r="K50" i="6"/>
  <c r="D15" i="10"/>
  <c r="E15" i="10"/>
  <c r="F15" i="10"/>
  <c r="L50" i="6"/>
  <c r="L43" i="10"/>
  <c r="M43" i="10"/>
  <c r="K51" i="6"/>
  <c r="D16" i="10"/>
  <c r="E16" i="10"/>
  <c r="F16" i="10"/>
  <c r="L51" i="6"/>
  <c r="L44" i="10"/>
  <c r="M44" i="10"/>
  <c r="K52" i="6"/>
  <c r="D17" i="10"/>
  <c r="E17" i="10"/>
  <c r="F17" i="10"/>
  <c r="L52" i="6"/>
  <c r="L45" i="10"/>
  <c r="M45" i="10"/>
  <c r="K53" i="6"/>
  <c r="D18" i="10"/>
  <c r="E18" i="10"/>
  <c r="F18" i="10"/>
  <c r="L53" i="6"/>
  <c r="L46" i="10"/>
  <c r="M46" i="10"/>
  <c r="K54" i="6"/>
  <c r="D19" i="10"/>
  <c r="E19" i="10"/>
  <c r="F19" i="10"/>
  <c r="L54" i="6"/>
  <c r="L47" i="10"/>
  <c r="M47" i="10"/>
  <c r="K55" i="6"/>
  <c r="D20" i="10"/>
  <c r="E20" i="10"/>
  <c r="F20" i="10"/>
  <c r="L55" i="6"/>
  <c r="L48" i="10"/>
  <c r="M48" i="10"/>
  <c r="K56" i="6"/>
  <c r="D21" i="10"/>
  <c r="E21" i="10"/>
  <c r="F21" i="10"/>
  <c r="L56" i="6"/>
  <c r="L49" i="10"/>
  <c r="M49" i="10"/>
  <c r="K57" i="6"/>
  <c r="D22" i="10"/>
  <c r="E22" i="10"/>
  <c r="F22" i="10"/>
  <c r="L57" i="6"/>
  <c r="L50" i="10"/>
  <c r="M50" i="10"/>
  <c r="K58" i="6"/>
  <c r="D23" i="10"/>
  <c r="E23" i="10"/>
  <c r="F23" i="10"/>
  <c r="L58" i="6"/>
  <c r="L51" i="10"/>
  <c r="M51" i="10"/>
  <c r="K59" i="6"/>
  <c r="D24" i="10"/>
  <c r="E24" i="10"/>
  <c r="F24" i="10"/>
  <c r="L59" i="6"/>
  <c r="L52" i="10"/>
  <c r="M52" i="10"/>
  <c r="K60" i="6"/>
  <c r="D25" i="10"/>
  <c r="E25" i="10"/>
  <c r="F25" i="10"/>
  <c r="L60" i="6"/>
  <c r="L53" i="10"/>
  <c r="M53" i="10"/>
  <c r="K61" i="6"/>
  <c r="D26" i="10"/>
  <c r="E26" i="10"/>
  <c r="F26" i="10"/>
  <c r="L61" i="6"/>
  <c r="L54" i="10"/>
  <c r="M54" i="10"/>
  <c r="K62" i="6"/>
  <c r="D27" i="10"/>
  <c r="E27" i="10"/>
  <c r="F27" i="10"/>
  <c r="L62" i="6"/>
  <c r="L55" i="10"/>
  <c r="M55" i="10"/>
  <c r="K63" i="6"/>
  <c r="D28" i="10"/>
  <c r="E28" i="10"/>
  <c r="F28" i="10"/>
  <c r="L63" i="6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G55" i="10"/>
  <c r="K64" i="9"/>
  <c r="G54" i="10"/>
  <c r="K63" i="9"/>
  <c r="G53" i="10"/>
  <c r="K62" i="9"/>
  <c r="G52" i="10"/>
  <c r="K61" i="9"/>
  <c r="G51" i="10"/>
  <c r="K60" i="9"/>
  <c r="G50" i="10"/>
  <c r="K59" i="9"/>
  <c r="G49" i="10"/>
  <c r="K58" i="9"/>
  <c r="G48" i="10"/>
  <c r="K57" i="9"/>
  <c r="G47" i="10"/>
  <c r="K56" i="9"/>
  <c r="G46" i="10"/>
  <c r="K55" i="9"/>
  <c r="G45" i="10"/>
  <c r="K54" i="9"/>
  <c r="G44" i="10"/>
  <c r="K53" i="9"/>
  <c r="G43" i="10"/>
  <c r="K52" i="9"/>
  <c r="G42" i="10"/>
  <c r="K51" i="9"/>
  <c r="G41" i="10"/>
  <c r="K50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N40" i="10"/>
  <c r="N39" i="10"/>
  <c r="N38" i="10"/>
  <c r="N37" i="10"/>
  <c r="N36" i="10"/>
  <c r="N35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K55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I55" i="10"/>
  <c r="E55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55" i="10"/>
  <c r="K54" i="10"/>
  <c r="I54" i="10"/>
  <c r="E54" i="10"/>
  <c r="A54" i="10"/>
  <c r="K53" i="10"/>
  <c r="I53" i="10"/>
  <c r="E53" i="10"/>
  <c r="A53" i="10"/>
  <c r="K52" i="10"/>
  <c r="I52" i="10"/>
  <c r="E52" i="10"/>
  <c r="A52" i="10"/>
  <c r="K51" i="10"/>
  <c r="I51" i="10"/>
  <c r="E51" i="10"/>
  <c r="A51" i="10"/>
  <c r="K50" i="10"/>
  <c r="I50" i="10"/>
  <c r="E50" i="10"/>
  <c r="A50" i="10"/>
  <c r="K49" i="10"/>
  <c r="I49" i="10"/>
  <c r="E49" i="10"/>
  <c r="A49" i="10"/>
  <c r="K48" i="10"/>
  <c r="I48" i="10"/>
  <c r="E48" i="10"/>
  <c r="A48" i="10"/>
  <c r="K47" i="10"/>
  <c r="I47" i="10"/>
  <c r="E47" i="10"/>
  <c r="A47" i="10"/>
  <c r="K46" i="10"/>
  <c r="I46" i="10"/>
  <c r="E46" i="10"/>
  <c r="A46" i="10"/>
  <c r="K45" i="10"/>
  <c r="I45" i="10"/>
  <c r="E45" i="10"/>
  <c r="A45" i="10"/>
  <c r="K44" i="10"/>
  <c r="I44" i="10"/>
  <c r="E44" i="10"/>
  <c r="A44" i="10"/>
  <c r="K43" i="10"/>
  <c r="I43" i="10"/>
  <c r="E43" i="10"/>
  <c r="A43" i="10"/>
  <c r="K42" i="10"/>
  <c r="I42" i="10"/>
  <c r="E42" i="10"/>
  <c r="A42" i="10"/>
  <c r="K41" i="10"/>
  <c r="I41" i="10"/>
  <c r="E41" i="10"/>
  <c r="A41" i="10"/>
  <c r="E40" i="10"/>
  <c r="A40" i="10"/>
  <c r="E39" i="10"/>
  <c r="A39" i="10"/>
  <c r="E38" i="10"/>
  <c r="A38" i="10"/>
  <c r="E37" i="10"/>
  <c r="A37" i="10"/>
  <c r="E36" i="10"/>
  <c r="A36" i="10"/>
  <c r="E35" i="10"/>
  <c r="A35" i="10"/>
  <c r="E25" i="9"/>
  <c r="E1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G9" i="9"/>
  <c r="A85" i="9"/>
  <c r="A107" i="9"/>
  <c r="A84" i="9"/>
  <c r="A106" i="9"/>
  <c r="A83" i="9"/>
  <c r="A105" i="9"/>
  <c r="A82" i="9"/>
  <c r="A104" i="9"/>
  <c r="A81" i="9"/>
  <c r="A103" i="9"/>
  <c r="A80" i="9"/>
  <c r="A102" i="9"/>
  <c r="A79" i="9"/>
  <c r="A101" i="9"/>
  <c r="A78" i="9"/>
  <c r="A100" i="9"/>
  <c r="A77" i="9"/>
  <c r="A99" i="9"/>
  <c r="A76" i="9"/>
  <c r="A98" i="9"/>
  <c r="A75" i="9"/>
  <c r="A97" i="9"/>
  <c r="A74" i="9"/>
  <c r="A96" i="9"/>
  <c r="A73" i="9"/>
  <c r="A95" i="9"/>
  <c r="A72" i="9"/>
  <c r="A94" i="9"/>
  <c r="A71" i="9"/>
  <c r="A93" i="9"/>
  <c r="C50" i="9"/>
  <c r="D50" i="9"/>
  <c r="G8" i="9"/>
  <c r="I46" i="7"/>
  <c r="F23" i="22" s="1"/>
  <c r="I22" i="7"/>
  <c r="C44" i="22" s="1"/>
  <c r="I23" i="7"/>
  <c r="D44" i="22" s="1"/>
  <c r="I20" i="7"/>
  <c r="E19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51" i="8"/>
  <c r="A50" i="8"/>
  <c r="G9" i="8"/>
  <c r="A85" i="8"/>
  <c r="A107" i="8"/>
  <c r="A84" i="8"/>
  <c r="A106" i="8"/>
  <c r="A83" i="8"/>
  <c r="A105" i="8"/>
  <c r="A82" i="8"/>
  <c r="A104" i="8"/>
  <c r="A81" i="8"/>
  <c r="A103" i="8"/>
  <c r="A80" i="8"/>
  <c r="A102" i="8"/>
  <c r="A79" i="8"/>
  <c r="A101" i="8"/>
  <c r="A78" i="8"/>
  <c r="A100" i="8"/>
  <c r="A77" i="8"/>
  <c r="A99" i="8"/>
  <c r="A76" i="8"/>
  <c r="A98" i="8"/>
  <c r="A75" i="8"/>
  <c r="A97" i="8"/>
  <c r="A74" i="8"/>
  <c r="A96" i="8"/>
  <c r="A73" i="8"/>
  <c r="A95" i="8"/>
  <c r="A72" i="8"/>
  <c r="A94" i="8"/>
  <c r="A71" i="8"/>
  <c r="A93" i="8"/>
  <c r="C50" i="8"/>
  <c r="D50" i="8"/>
  <c r="R23" i="8"/>
  <c r="R22" i="8"/>
  <c r="R20" i="8"/>
  <c r="R19" i="8"/>
  <c r="R17" i="8"/>
  <c r="Q13" i="8"/>
  <c r="G8" i="8"/>
  <c r="I43" i="7"/>
  <c r="D45" i="22" s="1"/>
  <c r="E10" i="6"/>
  <c r="B70" i="6" s="1"/>
  <c r="I44" i="3"/>
  <c r="I45" i="3"/>
  <c r="I49" i="3"/>
  <c r="E7" i="6"/>
  <c r="G23" i="3"/>
  <c r="E10" i="5" s="1"/>
  <c r="B70" i="5" s="1"/>
  <c r="G24" i="3"/>
  <c r="I24" i="3" s="1"/>
  <c r="E7" i="5"/>
  <c r="E20" i="6"/>
  <c r="E19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G8" i="6"/>
  <c r="G9" i="6"/>
  <c r="A84" i="6"/>
  <c r="A106" i="6"/>
  <c r="A83" i="6"/>
  <c r="A105" i="6"/>
  <c r="A82" i="6"/>
  <c r="A104" i="6"/>
  <c r="A81" i="6"/>
  <c r="A103" i="6"/>
  <c r="A80" i="6"/>
  <c r="A102" i="6"/>
  <c r="A79" i="6"/>
  <c r="A101" i="6"/>
  <c r="A78" i="6"/>
  <c r="A100" i="6"/>
  <c r="A77" i="6"/>
  <c r="A99" i="6"/>
  <c r="A76" i="6"/>
  <c r="A98" i="6"/>
  <c r="A75" i="6"/>
  <c r="A97" i="6"/>
  <c r="A74" i="6"/>
  <c r="A96" i="6"/>
  <c r="A73" i="6"/>
  <c r="A95" i="6"/>
  <c r="A72" i="6"/>
  <c r="A94" i="6"/>
  <c r="A71" i="6"/>
  <c r="A93" i="6"/>
  <c r="A70" i="6"/>
  <c r="A92" i="6"/>
  <c r="E19" i="5"/>
  <c r="E2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50" i="5"/>
  <c r="A49" i="5"/>
  <c r="G8" i="5"/>
  <c r="G9" i="5"/>
  <c r="A84" i="5"/>
  <c r="A106" i="5"/>
  <c r="A83" i="5"/>
  <c r="A105" i="5"/>
  <c r="A82" i="5"/>
  <c r="A104" i="5"/>
  <c r="A81" i="5"/>
  <c r="A103" i="5"/>
  <c r="A80" i="5"/>
  <c r="A102" i="5"/>
  <c r="A79" i="5"/>
  <c r="A101" i="5"/>
  <c r="A78" i="5"/>
  <c r="A100" i="5"/>
  <c r="A77" i="5"/>
  <c r="A99" i="5"/>
  <c r="A76" i="5"/>
  <c r="A98" i="5"/>
  <c r="A75" i="5"/>
  <c r="A97" i="5"/>
  <c r="A74" i="5"/>
  <c r="A96" i="5"/>
  <c r="A73" i="5"/>
  <c r="A95" i="5"/>
  <c r="A72" i="5"/>
  <c r="A94" i="5"/>
  <c r="A71" i="5"/>
  <c r="A93" i="5"/>
  <c r="A70" i="5"/>
  <c r="A92" i="5"/>
  <c r="I7" i="22"/>
  <c r="I46" i="3"/>
  <c r="D43" i="22" s="1"/>
  <c r="I25" i="3"/>
  <c r="D42" i="22" s="1"/>
  <c r="F93" i="35" l="1"/>
  <c r="N71" i="35"/>
  <c r="G93" i="35" s="1"/>
  <c r="D94" i="35"/>
  <c r="H94" i="35" s="1"/>
  <c r="I94" i="35"/>
  <c r="M72" i="35" s="1"/>
  <c r="K93" i="34"/>
  <c r="L93" i="34" s="1"/>
  <c r="N93" i="34" s="1"/>
  <c r="I74" i="35"/>
  <c r="C96" i="35"/>
  <c r="L74" i="35"/>
  <c r="E96" i="35" s="1"/>
  <c r="B95" i="35"/>
  <c r="J95" i="35" s="1"/>
  <c r="K73" i="35"/>
  <c r="I51" i="23"/>
  <c r="J35" i="22" s="1"/>
  <c r="F71" i="24"/>
  <c r="N71" i="34"/>
  <c r="G93" i="34" s="1"/>
  <c r="G54" i="35"/>
  <c r="J54" i="35" s="1"/>
  <c r="I54" i="35"/>
  <c r="K93" i="35"/>
  <c r="L93" i="35" s="1"/>
  <c r="N93" i="35" s="1"/>
  <c r="B53" i="24"/>
  <c r="I30" i="26"/>
  <c r="J28" i="22" s="1"/>
  <c r="F71" i="30"/>
  <c r="B75" i="35"/>
  <c r="M96" i="35" s="1"/>
  <c r="H55" i="35"/>
  <c r="F55" i="35"/>
  <c r="E56" i="35"/>
  <c r="J75" i="35"/>
  <c r="I13" i="22"/>
  <c r="I30" i="11"/>
  <c r="I51" i="11"/>
  <c r="I28" i="11"/>
  <c r="E5" i="13" s="1"/>
  <c r="A80" i="35"/>
  <c r="A102" i="35" s="1"/>
  <c r="A60" i="35"/>
  <c r="C79" i="35"/>
  <c r="F79" i="35"/>
  <c r="B61" i="35"/>
  <c r="D80" i="35"/>
  <c r="C60" i="35"/>
  <c r="D60" i="35" s="1"/>
  <c r="E78" i="35"/>
  <c r="G77" i="35"/>
  <c r="H77" i="35" s="1"/>
  <c r="I94" i="34"/>
  <c r="M72" i="34"/>
  <c r="N72" i="34" s="1"/>
  <c r="G94" i="34" s="1"/>
  <c r="B95" i="34"/>
  <c r="J95" i="34" s="1"/>
  <c r="K73" i="34"/>
  <c r="D95" i="34" s="1"/>
  <c r="I95" i="34" s="1"/>
  <c r="L94" i="34"/>
  <c r="N94" i="34" s="1"/>
  <c r="G54" i="34"/>
  <c r="J54" i="34" s="1"/>
  <c r="I54" i="34"/>
  <c r="I74" i="34"/>
  <c r="L74" i="34"/>
  <c r="E96" i="34" s="1"/>
  <c r="C96" i="34"/>
  <c r="J75" i="34"/>
  <c r="E56" i="34"/>
  <c r="H55" i="34"/>
  <c r="F55" i="34"/>
  <c r="B75" i="34"/>
  <c r="M96" i="34" s="1"/>
  <c r="H95" i="34"/>
  <c r="K95" i="34" s="1"/>
  <c r="C59" i="34"/>
  <c r="D59" i="34" s="1"/>
  <c r="D79" i="34"/>
  <c r="B60" i="34"/>
  <c r="C78" i="34"/>
  <c r="E78" i="34" s="1"/>
  <c r="G78" i="34" s="1"/>
  <c r="H78" i="34" s="1"/>
  <c r="F78" i="34"/>
  <c r="A59" i="34"/>
  <c r="A79" i="34"/>
  <c r="A101" i="34" s="1"/>
  <c r="D72" i="24"/>
  <c r="C72" i="24" s="1"/>
  <c r="C72" i="31"/>
  <c r="D73" i="31"/>
  <c r="D74" i="31" s="1"/>
  <c r="C71" i="31"/>
  <c r="E71" i="31" s="1"/>
  <c r="G32" i="22"/>
  <c r="I44" i="26"/>
  <c r="C51" i="22" s="1"/>
  <c r="E51" i="22" s="1"/>
  <c r="F71" i="27"/>
  <c r="I50" i="3"/>
  <c r="I30" i="23"/>
  <c r="J34" i="22" s="1"/>
  <c r="C71" i="27"/>
  <c r="I48" i="11"/>
  <c r="E10" i="14"/>
  <c r="B70" i="14" s="1"/>
  <c r="I58" i="11"/>
  <c r="I44" i="11"/>
  <c r="C55" i="22" s="1"/>
  <c r="E55" i="22" s="1"/>
  <c r="I46" i="26"/>
  <c r="E24" i="28" s="1"/>
  <c r="M92" i="28" s="1"/>
  <c r="N92" i="28" s="1"/>
  <c r="I48" i="29"/>
  <c r="E5" i="31" s="1"/>
  <c r="F31" i="22"/>
  <c r="E4" i="31"/>
  <c r="E50" i="31" s="1"/>
  <c r="C46" i="22"/>
  <c r="E46" i="22" s="1"/>
  <c r="I48" i="26"/>
  <c r="E4" i="28" s="1"/>
  <c r="E50" i="28" s="1"/>
  <c r="I24" i="29"/>
  <c r="E24" i="30" s="1"/>
  <c r="M92" i="30" s="1"/>
  <c r="N92" i="30" s="1"/>
  <c r="C52" i="22"/>
  <c r="E52" i="22" s="1"/>
  <c r="E24" i="13"/>
  <c r="I58" i="26"/>
  <c r="E25" i="28" s="1"/>
  <c r="F30" i="22"/>
  <c r="E4" i="30"/>
  <c r="E50" i="30" s="1"/>
  <c r="E4" i="6"/>
  <c r="B49" i="6" s="1"/>
  <c r="C49" i="6" s="1"/>
  <c r="F49" i="6" s="1"/>
  <c r="I49" i="6" s="1"/>
  <c r="F21" i="22"/>
  <c r="I37" i="11"/>
  <c r="I45" i="29"/>
  <c r="E24" i="31" s="1"/>
  <c r="M92" i="31" s="1"/>
  <c r="N92" i="31" s="1"/>
  <c r="C53" i="22"/>
  <c r="E53" i="22" s="1"/>
  <c r="E25" i="8"/>
  <c r="I26" i="7"/>
  <c r="E4" i="8" s="1"/>
  <c r="E50" i="8" s="1"/>
  <c r="E44" i="22"/>
  <c r="E10" i="8"/>
  <c r="B71" i="8" s="1"/>
  <c r="G31" i="22"/>
  <c r="B55" i="31"/>
  <c r="C54" i="31"/>
  <c r="D54" i="31" s="1"/>
  <c r="E72" i="31"/>
  <c r="A73" i="31"/>
  <c r="A95" i="31" s="1"/>
  <c r="A53" i="31"/>
  <c r="D73" i="30"/>
  <c r="B54" i="30"/>
  <c r="C53" i="30"/>
  <c r="D53" i="30" s="1"/>
  <c r="E71" i="30"/>
  <c r="C72" i="30"/>
  <c r="F72" i="30"/>
  <c r="A73" i="30"/>
  <c r="A95" i="30" s="1"/>
  <c r="A53" i="30"/>
  <c r="I27" i="29"/>
  <c r="C71" i="28"/>
  <c r="E71" i="28" s="1"/>
  <c r="D72" i="28"/>
  <c r="F72" i="28" s="1"/>
  <c r="F29" i="22"/>
  <c r="I25" i="26"/>
  <c r="E24" i="27" s="1"/>
  <c r="M92" i="27" s="1"/>
  <c r="N92" i="27" s="1"/>
  <c r="C50" i="22"/>
  <c r="E50" i="22" s="1"/>
  <c r="F28" i="22"/>
  <c r="E4" i="27"/>
  <c r="E50" i="27" s="1"/>
  <c r="B55" i="28"/>
  <c r="C54" i="28"/>
  <c r="D54" i="28" s="1"/>
  <c r="A73" i="28"/>
  <c r="A95" i="28" s="1"/>
  <c r="A53" i="28"/>
  <c r="D74" i="27"/>
  <c r="B55" i="27"/>
  <c r="C54" i="27"/>
  <c r="D54" i="27" s="1"/>
  <c r="E72" i="27"/>
  <c r="E71" i="27"/>
  <c r="F73" i="27"/>
  <c r="C73" i="27"/>
  <c r="A73" i="27"/>
  <c r="A95" i="27" s="1"/>
  <c r="A53" i="27"/>
  <c r="F71" i="25"/>
  <c r="C43" i="22"/>
  <c r="E43" i="22" s="1"/>
  <c r="D72" i="25"/>
  <c r="C72" i="25" s="1"/>
  <c r="C52" i="25"/>
  <c r="D52" i="25" s="1"/>
  <c r="C53" i="25"/>
  <c r="D53" i="25" s="1"/>
  <c r="B54" i="25"/>
  <c r="E71" i="25"/>
  <c r="A53" i="25"/>
  <c r="A73" i="25"/>
  <c r="A95" i="25" s="1"/>
  <c r="C53" i="24"/>
  <c r="D53" i="24" s="1"/>
  <c r="D73" i="24"/>
  <c r="B54" i="24"/>
  <c r="E71" i="24"/>
  <c r="F72" i="24"/>
  <c r="A53" i="24"/>
  <c r="A73" i="24"/>
  <c r="A95" i="24" s="1"/>
  <c r="I58" i="23"/>
  <c r="E25" i="25" s="1"/>
  <c r="I53" i="15"/>
  <c r="I37" i="22" s="1"/>
  <c r="I15" i="22"/>
  <c r="I31" i="15"/>
  <c r="I36" i="22" s="1"/>
  <c r="G45" i="15"/>
  <c r="E24" i="14"/>
  <c r="E4" i="13"/>
  <c r="B49" i="13" s="1"/>
  <c r="E49" i="13" s="1"/>
  <c r="H49" i="13" s="1"/>
  <c r="F32" i="22"/>
  <c r="E10" i="13"/>
  <c r="B70" i="13" s="1"/>
  <c r="I23" i="11"/>
  <c r="E24" i="19"/>
  <c r="I26" i="18"/>
  <c r="E23" i="19" s="1"/>
  <c r="M91" i="19" s="1"/>
  <c r="N91" i="19" s="1"/>
  <c r="I31" i="18"/>
  <c r="I24" i="22" s="1"/>
  <c r="I9" i="22"/>
  <c r="I49" i="7"/>
  <c r="J23" i="22" s="1"/>
  <c r="J8" i="22"/>
  <c r="I28" i="18"/>
  <c r="F24" i="22" s="1"/>
  <c r="E4" i="9"/>
  <c r="E50" i="9" s="1"/>
  <c r="I42" i="7"/>
  <c r="E10" i="9"/>
  <c r="B71" i="9" s="1"/>
  <c r="I21" i="22"/>
  <c r="E24" i="6"/>
  <c r="E24" i="5"/>
  <c r="I28" i="3"/>
  <c r="I29" i="3" s="1"/>
  <c r="I23" i="3"/>
  <c r="E8" i="16"/>
  <c r="I24" i="7"/>
  <c r="E24" i="8" s="1"/>
  <c r="M92" i="8" s="1"/>
  <c r="N92" i="8" s="1"/>
  <c r="I47" i="3"/>
  <c r="E23" i="6" s="1"/>
  <c r="M91" i="6" s="1"/>
  <c r="N91" i="6" s="1"/>
  <c r="E7" i="9"/>
  <c r="B51" i="9" s="1"/>
  <c r="E7" i="8"/>
  <c r="B51" i="8" s="1"/>
  <c r="C51" i="8" s="1"/>
  <c r="D51" i="8" s="1"/>
  <c r="I52" i="18"/>
  <c r="E4" i="20"/>
  <c r="B49" i="20" s="1"/>
  <c r="E10" i="20"/>
  <c r="B70" i="20" s="1"/>
  <c r="E7" i="20"/>
  <c r="I44" i="18"/>
  <c r="E24" i="20"/>
  <c r="J76" i="35" l="1"/>
  <c r="F56" i="35"/>
  <c r="B76" i="35"/>
  <c r="M97" i="35" s="1"/>
  <c r="H56" i="35"/>
  <c r="E57" i="35"/>
  <c r="N72" i="35"/>
  <c r="G94" i="35" s="1"/>
  <c r="F94" i="35"/>
  <c r="G55" i="35"/>
  <c r="J55" i="35" s="1"/>
  <c r="I55" i="35"/>
  <c r="K94" i="35"/>
  <c r="L94" i="35"/>
  <c r="N94" i="35" s="1"/>
  <c r="D95" i="35"/>
  <c r="H95" i="35" s="1"/>
  <c r="K95" i="35" s="1"/>
  <c r="B96" i="35"/>
  <c r="J96" i="35" s="1"/>
  <c r="K74" i="35"/>
  <c r="I28" i="26"/>
  <c r="G28" i="22" s="1"/>
  <c r="I75" i="35"/>
  <c r="C97" i="35"/>
  <c r="L75" i="35"/>
  <c r="E97" i="35" s="1"/>
  <c r="E79" i="35"/>
  <c r="A81" i="35"/>
  <c r="A103" i="35" s="1"/>
  <c r="A61" i="35"/>
  <c r="G78" i="35"/>
  <c r="H78" i="35" s="1"/>
  <c r="D81" i="35"/>
  <c r="B62" i="35"/>
  <c r="C61" i="35"/>
  <c r="D61" i="35" s="1"/>
  <c r="C80" i="35"/>
  <c r="F80" i="35"/>
  <c r="F94" i="34"/>
  <c r="I55" i="34"/>
  <c r="G55" i="34"/>
  <c r="J55" i="34" s="1"/>
  <c r="L95" i="34"/>
  <c r="N95" i="34" s="1"/>
  <c r="F56" i="34"/>
  <c r="J76" i="34"/>
  <c r="E57" i="34"/>
  <c r="H56" i="34"/>
  <c r="B76" i="34"/>
  <c r="M97" i="34" s="1"/>
  <c r="B96" i="34"/>
  <c r="J96" i="34" s="1"/>
  <c r="K74" i="34"/>
  <c r="D96" i="34" s="1"/>
  <c r="I96" i="34" s="1"/>
  <c r="L75" i="34"/>
  <c r="E97" i="34" s="1"/>
  <c r="I75" i="34"/>
  <c r="C97" i="34"/>
  <c r="M73" i="34"/>
  <c r="N73" i="34" s="1"/>
  <c r="G95" i="34" s="1"/>
  <c r="C60" i="34"/>
  <c r="D60" i="34" s="1"/>
  <c r="D80" i="34"/>
  <c r="B61" i="34"/>
  <c r="C79" i="34"/>
  <c r="E79" i="34" s="1"/>
  <c r="G79" i="34" s="1"/>
  <c r="H79" i="34" s="1"/>
  <c r="F79" i="34"/>
  <c r="A60" i="34"/>
  <c r="A80" i="34"/>
  <c r="A102" i="34" s="1"/>
  <c r="F73" i="31"/>
  <c r="C73" i="31"/>
  <c r="E73" i="31" s="1"/>
  <c r="G21" i="22"/>
  <c r="E5" i="6"/>
  <c r="B50" i="6" s="1"/>
  <c r="E49" i="6"/>
  <c r="H49" i="6" s="1"/>
  <c r="I29" i="18"/>
  <c r="E5" i="19" s="1"/>
  <c r="B50" i="19" s="1"/>
  <c r="D49" i="6"/>
  <c r="G49" i="6" s="1"/>
  <c r="J49" i="6" s="1"/>
  <c r="I46" i="11"/>
  <c r="E23" i="14" s="1"/>
  <c r="M91" i="14" s="1"/>
  <c r="N91" i="14" s="1"/>
  <c r="E51" i="31"/>
  <c r="H51" i="31" s="1"/>
  <c r="F50" i="28"/>
  <c r="H50" i="28"/>
  <c r="B50" i="13"/>
  <c r="D70" i="13" s="1"/>
  <c r="C70" i="13" s="1"/>
  <c r="G20" i="22"/>
  <c r="E5" i="5"/>
  <c r="C49" i="13"/>
  <c r="F49" i="13" s="1"/>
  <c r="I49" i="13" s="1"/>
  <c r="I47" i="18"/>
  <c r="E23" i="20" s="1"/>
  <c r="M91" i="20" s="1"/>
  <c r="N91" i="20" s="1"/>
  <c r="C47" i="22"/>
  <c r="E47" i="22" s="1"/>
  <c r="H50" i="30"/>
  <c r="F50" i="30"/>
  <c r="H50" i="31"/>
  <c r="F50" i="31"/>
  <c r="E4" i="14"/>
  <c r="B49" i="14" s="1"/>
  <c r="F33" i="22"/>
  <c r="F22" i="22"/>
  <c r="F50" i="8"/>
  <c r="G50" i="8" s="1"/>
  <c r="J50" i="8" s="1"/>
  <c r="H50" i="8"/>
  <c r="E5" i="30"/>
  <c r="E51" i="30" s="1"/>
  <c r="G30" i="22"/>
  <c r="I49" i="11"/>
  <c r="G33" i="22" s="1"/>
  <c r="I33" i="22"/>
  <c r="C72" i="28"/>
  <c r="E72" i="28" s="1"/>
  <c r="I50" i="18"/>
  <c r="E5" i="20" s="1"/>
  <c r="B50" i="20" s="1"/>
  <c r="I25" i="22"/>
  <c r="G72" i="31"/>
  <c r="A54" i="31"/>
  <c r="A74" i="31"/>
  <c r="A96" i="31" s="1"/>
  <c r="G71" i="31"/>
  <c r="H71" i="31" s="1"/>
  <c r="D75" i="31"/>
  <c r="B56" i="31"/>
  <c r="C55" i="31"/>
  <c r="D55" i="31" s="1"/>
  <c r="C74" i="31"/>
  <c r="F74" i="31"/>
  <c r="E72" i="30"/>
  <c r="C54" i="30"/>
  <c r="D54" i="30" s="1"/>
  <c r="D74" i="30"/>
  <c r="B55" i="30"/>
  <c r="A54" i="30"/>
  <c r="A74" i="30"/>
  <c r="A96" i="30" s="1"/>
  <c r="G71" i="30"/>
  <c r="H71" i="30" s="1"/>
  <c r="C73" i="30"/>
  <c r="F73" i="30"/>
  <c r="D73" i="28"/>
  <c r="F73" i="28" s="1"/>
  <c r="H50" i="27"/>
  <c r="F50" i="27"/>
  <c r="E5" i="27"/>
  <c r="E51" i="27" s="1"/>
  <c r="H51" i="27" s="1"/>
  <c r="I50" i="28"/>
  <c r="G50" i="28"/>
  <c r="J50" i="28" s="1"/>
  <c r="B56" i="28"/>
  <c r="C55" i="28"/>
  <c r="D55" i="28" s="1"/>
  <c r="A54" i="28"/>
  <c r="A74" i="28"/>
  <c r="A96" i="28" s="1"/>
  <c r="G71" i="28"/>
  <c r="H71" i="28" s="1"/>
  <c r="A54" i="27"/>
  <c r="A74" i="27"/>
  <c r="A96" i="27" s="1"/>
  <c r="G71" i="27"/>
  <c r="H71" i="27" s="1"/>
  <c r="G72" i="27"/>
  <c r="D75" i="27"/>
  <c r="B56" i="27"/>
  <c r="C55" i="27"/>
  <c r="D55" i="27" s="1"/>
  <c r="E73" i="27"/>
  <c r="C74" i="27"/>
  <c r="F74" i="27"/>
  <c r="I25" i="11"/>
  <c r="E23" i="13" s="1"/>
  <c r="M91" i="13" s="1"/>
  <c r="N91" i="13" s="1"/>
  <c r="C54" i="22"/>
  <c r="E54" i="22" s="1"/>
  <c r="I44" i="7"/>
  <c r="E24" i="9" s="1"/>
  <c r="M92" i="9" s="1"/>
  <c r="N92" i="9" s="1"/>
  <c r="C45" i="22"/>
  <c r="E45" i="22" s="1"/>
  <c r="F72" i="25"/>
  <c r="D73" i="25"/>
  <c r="D74" i="25" s="1"/>
  <c r="C54" i="25"/>
  <c r="D54" i="25" s="1"/>
  <c r="B55" i="25"/>
  <c r="A74" i="25"/>
  <c r="A96" i="25" s="1"/>
  <c r="A54" i="25"/>
  <c r="G71" i="25"/>
  <c r="H71" i="25" s="1"/>
  <c r="E72" i="25"/>
  <c r="C54" i="24"/>
  <c r="D54" i="24" s="1"/>
  <c r="D74" i="24"/>
  <c r="B55" i="24"/>
  <c r="A74" i="24"/>
  <c r="A96" i="24" s="1"/>
  <c r="A54" i="24"/>
  <c r="C73" i="24"/>
  <c r="F73" i="24"/>
  <c r="G71" i="24"/>
  <c r="H71" i="24" s="1"/>
  <c r="E72" i="24"/>
  <c r="I48" i="23"/>
  <c r="I46" i="23"/>
  <c r="E24" i="25" s="1"/>
  <c r="M92" i="25" s="1"/>
  <c r="N92" i="25" s="1"/>
  <c r="I37" i="23"/>
  <c r="E25" i="24" s="1"/>
  <c r="I23" i="23"/>
  <c r="I27" i="23"/>
  <c r="E10" i="16"/>
  <c r="B70" i="16" s="1"/>
  <c r="I23" i="15"/>
  <c r="I28" i="15"/>
  <c r="F36" i="22" s="1"/>
  <c r="E24" i="16"/>
  <c r="I38" i="15"/>
  <c r="I60" i="15"/>
  <c r="E24" i="17" s="1"/>
  <c r="I45" i="15"/>
  <c r="E10" i="17"/>
  <c r="B70" i="17" s="1"/>
  <c r="I50" i="15"/>
  <c r="F37" i="22" s="1"/>
  <c r="E5" i="14"/>
  <c r="B50" i="14" s="1"/>
  <c r="D70" i="14" s="1"/>
  <c r="I32" i="22"/>
  <c r="E4" i="19"/>
  <c r="B49" i="19" s="1"/>
  <c r="E49" i="19" s="1"/>
  <c r="H49" i="19" s="1"/>
  <c r="I47" i="7"/>
  <c r="E5" i="9" s="1"/>
  <c r="E51" i="9" s="1"/>
  <c r="H50" i="9"/>
  <c r="F50" i="9"/>
  <c r="I50" i="9" s="1"/>
  <c r="I26" i="3"/>
  <c r="E23" i="5" s="1"/>
  <c r="M91" i="5" s="1"/>
  <c r="N91" i="5" s="1"/>
  <c r="C42" i="22"/>
  <c r="E42" i="22" s="1"/>
  <c r="E4" i="5"/>
  <c r="B49" i="5" s="1"/>
  <c r="E49" i="5" s="1"/>
  <c r="H49" i="5" s="1"/>
  <c r="F20" i="22"/>
  <c r="D71" i="8"/>
  <c r="C71" i="8" s="1"/>
  <c r="B52" i="8"/>
  <c r="B53" i="8" s="1"/>
  <c r="D71" i="9"/>
  <c r="B52" i="9"/>
  <c r="C51" i="9"/>
  <c r="D51" i="9" s="1"/>
  <c r="C49" i="20"/>
  <c r="E49" i="20"/>
  <c r="H49" i="20" s="1"/>
  <c r="D96" i="35" l="1"/>
  <c r="I96" i="35" s="1"/>
  <c r="H96" i="35"/>
  <c r="K96" i="35" s="1"/>
  <c r="L96" i="35" s="1"/>
  <c r="N96" i="35" s="1"/>
  <c r="M74" i="35"/>
  <c r="I56" i="35"/>
  <c r="G56" i="35"/>
  <c r="J56" i="35" s="1"/>
  <c r="H96" i="34"/>
  <c r="K96" i="34" s="1"/>
  <c r="B97" i="35"/>
  <c r="J97" i="35" s="1"/>
  <c r="K75" i="35"/>
  <c r="I95" i="35"/>
  <c r="M73" i="35" s="1"/>
  <c r="F57" i="35"/>
  <c r="H57" i="35"/>
  <c r="J77" i="35"/>
  <c r="B77" i="35"/>
  <c r="M98" i="35" s="1"/>
  <c r="E58" i="35"/>
  <c r="I76" i="35"/>
  <c r="L76" i="35"/>
  <c r="E98" i="35" s="1"/>
  <c r="C98" i="35"/>
  <c r="F70" i="13"/>
  <c r="L70" i="13" s="1"/>
  <c r="E92" i="13" s="1"/>
  <c r="C50" i="13"/>
  <c r="F50" i="13" s="1"/>
  <c r="I50" i="13" s="1"/>
  <c r="B51" i="13"/>
  <c r="C51" i="13" s="1"/>
  <c r="D51" i="13" s="1"/>
  <c r="G51" i="13" s="1"/>
  <c r="J51" i="13" s="1"/>
  <c r="E80" i="35"/>
  <c r="D82" i="35"/>
  <c r="C62" i="35"/>
  <c r="D62" i="35" s="1"/>
  <c r="B63" i="35"/>
  <c r="A82" i="35"/>
  <c r="A104" i="35" s="1"/>
  <c r="A62" i="35"/>
  <c r="F81" i="35"/>
  <c r="C81" i="35"/>
  <c r="G79" i="35"/>
  <c r="H79" i="35" s="1"/>
  <c r="F95" i="34"/>
  <c r="C98" i="34"/>
  <c r="L76" i="34"/>
  <c r="E98" i="34" s="1"/>
  <c r="I76" i="34"/>
  <c r="B97" i="34"/>
  <c r="J97" i="34" s="1"/>
  <c r="K75" i="34"/>
  <c r="D97" i="34" s="1"/>
  <c r="H97" i="34" s="1"/>
  <c r="K97" i="34" s="1"/>
  <c r="I56" i="34"/>
  <c r="G56" i="34"/>
  <c r="J56" i="34" s="1"/>
  <c r="B77" i="34"/>
  <c r="M98" i="34" s="1"/>
  <c r="E58" i="34"/>
  <c r="H57" i="34"/>
  <c r="J77" i="34"/>
  <c r="F57" i="34"/>
  <c r="D81" i="34"/>
  <c r="B62" i="34"/>
  <c r="C61" i="34"/>
  <c r="D61" i="34" s="1"/>
  <c r="F80" i="34"/>
  <c r="C80" i="34"/>
  <c r="E80" i="34" s="1"/>
  <c r="G80" i="34" s="1"/>
  <c r="H80" i="34" s="1"/>
  <c r="A61" i="34"/>
  <c r="A81" i="34"/>
  <c r="A103" i="34" s="1"/>
  <c r="D70" i="6"/>
  <c r="F70" i="6" s="1"/>
  <c r="L70" i="6" s="1"/>
  <c r="E92" i="6" s="1"/>
  <c r="E50" i="6"/>
  <c r="H50" i="6" s="1"/>
  <c r="B51" i="6"/>
  <c r="D71" i="6" s="1"/>
  <c r="I50" i="8"/>
  <c r="J71" i="31"/>
  <c r="C93" i="31" s="1"/>
  <c r="J70" i="13"/>
  <c r="C92" i="13" s="1"/>
  <c r="G24" i="22"/>
  <c r="F51" i="31"/>
  <c r="I51" i="31" s="1"/>
  <c r="D49" i="13"/>
  <c r="G49" i="13" s="1"/>
  <c r="J49" i="13" s="1"/>
  <c r="C50" i="6"/>
  <c r="D50" i="6" s="1"/>
  <c r="G50" i="6" s="1"/>
  <c r="J50" i="6" s="1"/>
  <c r="E52" i="31"/>
  <c r="B72" i="31" s="1"/>
  <c r="M93" i="31" s="1"/>
  <c r="I50" i="30"/>
  <c r="G50" i="30"/>
  <c r="J50" i="30" s="1"/>
  <c r="E49" i="14"/>
  <c r="H49" i="14" s="1"/>
  <c r="C49" i="14"/>
  <c r="I50" i="31"/>
  <c r="G50" i="31"/>
  <c r="J50" i="31" s="1"/>
  <c r="E50" i="13"/>
  <c r="H50" i="13" s="1"/>
  <c r="H52" i="31"/>
  <c r="G51" i="31"/>
  <c r="J51" i="31" s="1"/>
  <c r="G23" i="22"/>
  <c r="F52" i="31"/>
  <c r="I52" i="31" s="1"/>
  <c r="E52" i="30"/>
  <c r="H51" i="30"/>
  <c r="J71" i="30"/>
  <c r="F51" i="30"/>
  <c r="E50" i="14"/>
  <c r="H50" i="14" s="1"/>
  <c r="G25" i="22"/>
  <c r="H72" i="31"/>
  <c r="F75" i="31"/>
  <c r="C75" i="31"/>
  <c r="E74" i="31"/>
  <c r="A75" i="31"/>
  <c r="A97" i="31" s="1"/>
  <c r="A55" i="31"/>
  <c r="G73" i="31"/>
  <c r="B57" i="31"/>
  <c r="C56" i="31"/>
  <c r="D56" i="31" s="1"/>
  <c r="D76" i="31"/>
  <c r="E73" i="30"/>
  <c r="A75" i="30"/>
  <c r="A97" i="30" s="1"/>
  <c r="A55" i="30"/>
  <c r="G72" i="30"/>
  <c r="H72" i="30" s="1"/>
  <c r="C55" i="30"/>
  <c r="D55" i="30" s="1"/>
  <c r="D75" i="30"/>
  <c r="B56" i="30"/>
  <c r="C74" i="30"/>
  <c r="F74" i="30"/>
  <c r="E52" i="27"/>
  <c r="E53" i="27" s="1"/>
  <c r="F53" i="27" s="1"/>
  <c r="C73" i="28"/>
  <c r="E73" i="28" s="1"/>
  <c r="D74" i="28"/>
  <c r="D75" i="28" s="1"/>
  <c r="C75" i="28" s="1"/>
  <c r="F51" i="27"/>
  <c r="I51" i="27" s="1"/>
  <c r="I50" i="27"/>
  <c r="G50" i="27"/>
  <c r="J50" i="27" s="1"/>
  <c r="J71" i="27"/>
  <c r="C93" i="27" s="1"/>
  <c r="G72" i="28"/>
  <c r="H72" i="28" s="1"/>
  <c r="A75" i="28"/>
  <c r="A97" i="28" s="1"/>
  <c r="A55" i="28"/>
  <c r="B57" i="28"/>
  <c r="C56" i="28"/>
  <c r="D56" i="28" s="1"/>
  <c r="F75" i="27"/>
  <c r="C75" i="27"/>
  <c r="A75" i="27"/>
  <c r="A97" i="27" s="1"/>
  <c r="A55" i="27"/>
  <c r="E74" i="27"/>
  <c r="H72" i="27"/>
  <c r="G73" i="27"/>
  <c r="B57" i="27"/>
  <c r="C56" i="27"/>
  <c r="D56" i="27" s="1"/>
  <c r="D76" i="27"/>
  <c r="I49" i="23"/>
  <c r="F35" i="22"/>
  <c r="E4" i="25"/>
  <c r="E50" i="25" s="1"/>
  <c r="F73" i="25"/>
  <c r="C73" i="25"/>
  <c r="E73" i="25" s="1"/>
  <c r="F74" i="25"/>
  <c r="C74" i="25"/>
  <c r="G72" i="25"/>
  <c r="H72" i="25" s="1"/>
  <c r="A55" i="25"/>
  <c r="A75" i="25"/>
  <c r="A97" i="25" s="1"/>
  <c r="C55" i="25"/>
  <c r="D55" i="25" s="1"/>
  <c r="D75" i="25"/>
  <c r="B56" i="25"/>
  <c r="I25" i="23"/>
  <c r="E24" i="24" s="1"/>
  <c r="M92" i="24" s="1"/>
  <c r="N92" i="24" s="1"/>
  <c r="C56" i="22"/>
  <c r="E56" i="22" s="1"/>
  <c r="I28" i="23"/>
  <c r="E4" i="24"/>
  <c r="E50" i="24" s="1"/>
  <c r="F34" i="22"/>
  <c r="E73" i="24"/>
  <c r="F74" i="24"/>
  <c r="C74" i="24"/>
  <c r="G72" i="24"/>
  <c r="H72" i="24" s="1"/>
  <c r="A55" i="24"/>
  <c r="A75" i="24"/>
  <c r="A97" i="24" s="1"/>
  <c r="C55" i="24"/>
  <c r="D55" i="24" s="1"/>
  <c r="D75" i="24"/>
  <c r="B56" i="24"/>
  <c r="I48" i="15"/>
  <c r="E23" i="17" s="1"/>
  <c r="M91" i="17" s="1"/>
  <c r="N91" i="17" s="1"/>
  <c r="C59" i="22"/>
  <c r="E59" i="22" s="1"/>
  <c r="I26" i="15"/>
  <c r="E23" i="16" s="1"/>
  <c r="M91" i="16" s="1"/>
  <c r="N91" i="16" s="1"/>
  <c r="C58" i="22"/>
  <c r="E58" i="22" s="1"/>
  <c r="I29" i="15"/>
  <c r="E4" i="16"/>
  <c r="B49" i="16" s="1"/>
  <c r="E4" i="17"/>
  <c r="B49" i="17" s="1"/>
  <c r="I51" i="15"/>
  <c r="C50" i="14"/>
  <c r="F50" i="14" s="1"/>
  <c r="I50" i="14" s="1"/>
  <c r="B51" i="14"/>
  <c r="E51" i="14" s="1"/>
  <c r="H51" i="14" s="1"/>
  <c r="C49" i="19"/>
  <c r="F49" i="19" s="1"/>
  <c r="I49" i="19" s="1"/>
  <c r="H51" i="9"/>
  <c r="F51" i="9"/>
  <c r="I51" i="9" s="1"/>
  <c r="J71" i="9"/>
  <c r="L71" i="9" s="1"/>
  <c r="E93" i="9" s="1"/>
  <c r="E52" i="9"/>
  <c r="B72" i="9" s="1"/>
  <c r="M93" i="9" s="1"/>
  <c r="G50" i="9"/>
  <c r="J50" i="9" s="1"/>
  <c r="F71" i="8"/>
  <c r="C49" i="5"/>
  <c r="I20" i="22"/>
  <c r="B50" i="5"/>
  <c r="C50" i="5" s="1"/>
  <c r="F50" i="5" s="1"/>
  <c r="I50" i="5" s="1"/>
  <c r="C70" i="6"/>
  <c r="J70" i="6"/>
  <c r="C92" i="6" s="1"/>
  <c r="D72" i="8"/>
  <c r="C72" i="8" s="1"/>
  <c r="C52" i="8"/>
  <c r="D52" i="8" s="1"/>
  <c r="C71" i="9"/>
  <c r="F71" i="9"/>
  <c r="E71" i="8"/>
  <c r="B53" i="9"/>
  <c r="D72" i="9"/>
  <c r="C52" i="9"/>
  <c r="D52" i="9" s="1"/>
  <c r="B54" i="8"/>
  <c r="C53" i="8"/>
  <c r="D53" i="8" s="1"/>
  <c r="B71" i="13"/>
  <c r="M92" i="13" s="1"/>
  <c r="B52" i="13"/>
  <c r="B53" i="13" s="1"/>
  <c r="D50" i="13"/>
  <c r="G50" i="13" s="1"/>
  <c r="J50" i="13" s="1"/>
  <c r="B71" i="14"/>
  <c r="M92" i="14" s="1"/>
  <c r="D71" i="14"/>
  <c r="C51" i="14"/>
  <c r="C70" i="14"/>
  <c r="F70" i="14"/>
  <c r="L70" i="14" s="1"/>
  <c r="E92" i="14" s="1"/>
  <c r="J70" i="14"/>
  <c r="C92" i="14" s="1"/>
  <c r="E70" i="13"/>
  <c r="I70" i="13"/>
  <c r="B92" i="13" s="1"/>
  <c r="C50" i="20"/>
  <c r="E50" i="20"/>
  <c r="H50" i="20" s="1"/>
  <c r="B51" i="20"/>
  <c r="D70" i="20"/>
  <c r="D70" i="19"/>
  <c r="C50" i="19"/>
  <c r="B51" i="19"/>
  <c r="E50" i="19"/>
  <c r="H50" i="19" s="1"/>
  <c r="F49" i="20"/>
  <c r="I49" i="20" s="1"/>
  <c r="D49" i="20"/>
  <c r="G49" i="20" s="1"/>
  <c r="J49" i="20" s="1"/>
  <c r="K76" i="35" l="1"/>
  <c r="B98" i="35"/>
  <c r="J98" i="35" s="1"/>
  <c r="B71" i="6"/>
  <c r="M92" i="6" s="1"/>
  <c r="E53" i="31"/>
  <c r="H53" i="31" s="1"/>
  <c r="E59" i="35"/>
  <c r="B78" i="35"/>
  <c r="M99" i="35" s="1"/>
  <c r="H58" i="35"/>
  <c r="F58" i="35"/>
  <c r="J78" i="35"/>
  <c r="I57" i="35"/>
  <c r="G57" i="35"/>
  <c r="J57" i="35" s="1"/>
  <c r="E51" i="6"/>
  <c r="H51" i="6" s="1"/>
  <c r="L96" i="34"/>
  <c r="N96" i="34" s="1"/>
  <c r="M74" i="34"/>
  <c r="F96" i="35"/>
  <c r="F95" i="35"/>
  <c r="N73" i="35"/>
  <c r="G95" i="35" s="1"/>
  <c r="C99" i="35"/>
  <c r="L77" i="35"/>
  <c r="E99" i="35" s="1"/>
  <c r="I77" i="35"/>
  <c r="D97" i="35"/>
  <c r="I97" i="35" s="1"/>
  <c r="H97" i="35"/>
  <c r="K97" i="35" s="1"/>
  <c r="L97" i="35" s="1"/>
  <c r="N97" i="35" s="1"/>
  <c r="M75" i="35"/>
  <c r="F97" i="35" s="1"/>
  <c r="L95" i="35"/>
  <c r="N95" i="35" s="1"/>
  <c r="F51" i="13"/>
  <c r="I51" i="13" s="1"/>
  <c r="E51" i="13"/>
  <c r="H51" i="13" s="1"/>
  <c r="B52" i="14"/>
  <c r="C52" i="14" s="1"/>
  <c r="D71" i="13"/>
  <c r="J71" i="13" s="1"/>
  <c r="C93" i="13" s="1"/>
  <c r="E81" i="35"/>
  <c r="A63" i="35"/>
  <c r="A83" i="35"/>
  <c r="A105" i="35" s="1"/>
  <c r="C82" i="35"/>
  <c r="F82" i="35"/>
  <c r="C63" i="35"/>
  <c r="D63" i="35" s="1"/>
  <c r="D83" i="35"/>
  <c r="B64" i="35"/>
  <c r="G80" i="35"/>
  <c r="H80" i="35" s="1"/>
  <c r="I97" i="34"/>
  <c r="M75" i="34" s="1"/>
  <c r="G57" i="34"/>
  <c r="J57" i="34" s="1"/>
  <c r="I57" i="34"/>
  <c r="C99" i="34"/>
  <c r="L77" i="34"/>
  <c r="E99" i="34" s="1"/>
  <c r="I77" i="34"/>
  <c r="K76" i="34"/>
  <c r="D98" i="34" s="1"/>
  <c r="H98" i="34" s="1"/>
  <c r="B98" i="34"/>
  <c r="J98" i="34" s="1"/>
  <c r="E59" i="34"/>
  <c r="J78" i="34"/>
  <c r="H58" i="34"/>
  <c r="B78" i="34"/>
  <c r="M99" i="34" s="1"/>
  <c r="F58" i="34"/>
  <c r="F81" i="34"/>
  <c r="C81" i="34"/>
  <c r="E81" i="34" s="1"/>
  <c r="G81" i="34" s="1"/>
  <c r="H81" i="34" s="1"/>
  <c r="L97" i="34"/>
  <c r="N97" i="34" s="1"/>
  <c r="D82" i="34"/>
  <c r="B63" i="34"/>
  <c r="C62" i="34"/>
  <c r="D62" i="34" s="1"/>
  <c r="K98" i="34"/>
  <c r="A82" i="34"/>
  <c r="A104" i="34" s="1"/>
  <c r="A62" i="34"/>
  <c r="I98" i="34"/>
  <c r="F97" i="34"/>
  <c r="B52" i="6"/>
  <c r="B53" i="6" s="1"/>
  <c r="C51" i="6"/>
  <c r="F50" i="6"/>
  <c r="I50" i="6" s="1"/>
  <c r="L71" i="31"/>
  <c r="E93" i="31" s="1"/>
  <c r="I71" i="31"/>
  <c r="H73" i="31"/>
  <c r="J72" i="31"/>
  <c r="B72" i="27"/>
  <c r="M93" i="27" s="1"/>
  <c r="F49" i="14"/>
  <c r="I49" i="14" s="1"/>
  <c r="D49" i="14"/>
  <c r="G49" i="14" s="1"/>
  <c r="J49" i="14" s="1"/>
  <c r="F53" i="31"/>
  <c r="G53" i="31" s="1"/>
  <c r="J53" i="31" s="1"/>
  <c r="F72" i="8"/>
  <c r="B73" i="31"/>
  <c r="M94" i="31" s="1"/>
  <c r="E54" i="31"/>
  <c r="E55" i="31" s="1"/>
  <c r="J73" i="31"/>
  <c r="I73" i="31" s="1"/>
  <c r="G52" i="31"/>
  <c r="J52" i="31" s="1"/>
  <c r="E53" i="30"/>
  <c r="H52" i="30"/>
  <c r="F52" i="30"/>
  <c r="J72" i="30"/>
  <c r="B72" i="30"/>
  <c r="M93" i="30" s="1"/>
  <c r="I51" i="30"/>
  <c r="G51" i="30"/>
  <c r="J51" i="30" s="1"/>
  <c r="I71" i="30"/>
  <c r="L71" i="30"/>
  <c r="E93" i="30" s="1"/>
  <c r="C93" i="30"/>
  <c r="I53" i="31"/>
  <c r="E75" i="31"/>
  <c r="C76" i="31"/>
  <c r="F76" i="31"/>
  <c r="A56" i="31"/>
  <c r="A76" i="31"/>
  <c r="A98" i="31" s="1"/>
  <c r="B58" i="31"/>
  <c r="C57" i="31"/>
  <c r="D57" i="31" s="1"/>
  <c r="D77" i="31"/>
  <c r="G74" i="31"/>
  <c r="C56" i="30"/>
  <c r="D56" i="30" s="1"/>
  <c r="D76" i="30"/>
  <c r="B57" i="30"/>
  <c r="E74" i="30"/>
  <c r="C75" i="30"/>
  <c r="F75" i="30"/>
  <c r="A56" i="30"/>
  <c r="A76" i="30"/>
  <c r="A98" i="30" s="1"/>
  <c r="G73" i="30"/>
  <c r="H73" i="30" s="1"/>
  <c r="J73" i="27"/>
  <c r="C95" i="27" s="1"/>
  <c r="H53" i="27"/>
  <c r="H52" i="27"/>
  <c r="E54" i="27"/>
  <c r="J74" i="27" s="1"/>
  <c r="F52" i="27"/>
  <c r="I52" i="27" s="1"/>
  <c r="J72" i="27"/>
  <c r="C74" i="28"/>
  <c r="E74" i="28" s="1"/>
  <c r="F75" i="28"/>
  <c r="D76" i="28"/>
  <c r="D77" i="28" s="1"/>
  <c r="F74" i="28"/>
  <c r="G51" i="27"/>
  <c r="J51" i="27" s="1"/>
  <c r="L71" i="27"/>
  <c r="E93" i="27" s="1"/>
  <c r="I71" i="27"/>
  <c r="B58" i="28"/>
  <c r="C57" i="28"/>
  <c r="D57" i="28" s="1"/>
  <c r="A56" i="28"/>
  <c r="A76" i="28"/>
  <c r="A98" i="28" s="1"/>
  <c r="G73" i="28"/>
  <c r="H73" i="28" s="1"/>
  <c r="E75" i="28"/>
  <c r="H73" i="27"/>
  <c r="G74" i="27"/>
  <c r="E75" i="27"/>
  <c r="B58" i="27"/>
  <c r="C57" i="27"/>
  <c r="D57" i="27" s="1"/>
  <c r="D77" i="27"/>
  <c r="I53" i="27"/>
  <c r="G53" i="27"/>
  <c r="J53" i="27" s="1"/>
  <c r="F54" i="27"/>
  <c r="A56" i="27"/>
  <c r="A76" i="27"/>
  <c r="A98" i="27" s="1"/>
  <c r="C76" i="27"/>
  <c r="F76" i="27"/>
  <c r="L73" i="27"/>
  <c r="E95" i="27" s="1"/>
  <c r="F50" i="25"/>
  <c r="H50" i="25"/>
  <c r="E5" i="25"/>
  <c r="E51" i="25" s="1"/>
  <c r="G35" i="22"/>
  <c r="G73" i="25"/>
  <c r="H73" i="25" s="1"/>
  <c r="A76" i="25"/>
  <c r="A98" i="25" s="1"/>
  <c r="A56" i="25"/>
  <c r="E74" i="25"/>
  <c r="C56" i="25"/>
  <c r="D56" i="25" s="1"/>
  <c r="D76" i="25"/>
  <c r="B57" i="25"/>
  <c r="C75" i="25"/>
  <c r="F75" i="25"/>
  <c r="E5" i="24"/>
  <c r="E51" i="24" s="1"/>
  <c r="G34" i="22"/>
  <c r="H50" i="24"/>
  <c r="F50" i="24"/>
  <c r="G73" i="24"/>
  <c r="H73" i="24" s="1"/>
  <c r="A76" i="24"/>
  <c r="A98" i="24" s="1"/>
  <c r="A56" i="24"/>
  <c r="E74" i="24"/>
  <c r="C56" i="24"/>
  <c r="D56" i="24" s="1"/>
  <c r="D76" i="24"/>
  <c r="B57" i="24"/>
  <c r="C75" i="24"/>
  <c r="F75" i="24"/>
  <c r="E5" i="17"/>
  <c r="B50" i="17" s="1"/>
  <c r="G37" i="22"/>
  <c r="E5" i="16"/>
  <c r="B50" i="16" s="1"/>
  <c r="G36" i="22"/>
  <c r="C49" i="17"/>
  <c r="E49" i="17"/>
  <c r="H49" i="17" s="1"/>
  <c r="C49" i="16"/>
  <c r="E49" i="16"/>
  <c r="H49" i="16" s="1"/>
  <c r="D50" i="14"/>
  <c r="G50" i="14" s="1"/>
  <c r="J50" i="14" s="1"/>
  <c r="D49" i="19"/>
  <c r="G49" i="19" s="1"/>
  <c r="J49" i="19" s="1"/>
  <c r="C93" i="9"/>
  <c r="I71" i="9"/>
  <c r="B93" i="9" s="1"/>
  <c r="J93" i="9" s="1"/>
  <c r="G51" i="9"/>
  <c r="J51" i="9" s="1"/>
  <c r="H52" i="9"/>
  <c r="F52" i="9"/>
  <c r="G52" i="9" s="1"/>
  <c r="J52" i="9" s="1"/>
  <c r="E53" i="9"/>
  <c r="E54" i="9" s="1"/>
  <c r="J72" i="9"/>
  <c r="I72" i="9" s="1"/>
  <c r="D73" i="8"/>
  <c r="C73" i="8" s="1"/>
  <c r="F49" i="5"/>
  <c r="I49" i="5" s="1"/>
  <c r="D49" i="5"/>
  <c r="G49" i="5" s="1"/>
  <c r="J49" i="5" s="1"/>
  <c r="D50" i="5"/>
  <c r="G50" i="5" s="1"/>
  <c r="J50" i="5" s="1"/>
  <c r="B51" i="5"/>
  <c r="E50" i="5"/>
  <c r="H50" i="5" s="1"/>
  <c r="D70" i="5"/>
  <c r="C70" i="5" s="1"/>
  <c r="I70" i="5" s="1"/>
  <c r="B92" i="5" s="1"/>
  <c r="D51" i="6"/>
  <c r="G51" i="6" s="1"/>
  <c r="J51" i="6" s="1"/>
  <c r="F51" i="6"/>
  <c r="I51" i="6" s="1"/>
  <c r="C71" i="6"/>
  <c r="F71" i="6"/>
  <c r="L71" i="6" s="1"/>
  <c r="E93" i="6" s="1"/>
  <c r="J71" i="6"/>
  <c r="C93" i="6" s="1"/>
  <c r="B72" i="6"/>
  <c r="M93" i="6" s="1"/>
  <c r="D72" i="6"/>
  <c r="C52" i="6"/>
  <c r="E52" i="6"/>
  <c r="H52" i="6" s="1"/>
  <c r="I70" i="6"/>
  <c r="B92" i="6" s="1"/>
  <c r="E70" i="6"/>
  <c r="E71" i="9"/>
  <c r="C72" i="9"/>
  <c r="F72" i="9"/>
  <c r="B54" i="9"/>
  <c r="D73" i="9"/>
  <c r="C53" i="9"/>
  <c r="D53" i="9" s="1"/>
  <c r="E72" i="8"/>
  <c r="B55" i="8"/>
  <c r="C54" i="8"/>
  <c r="D54" i="8" s="1"/>
  <c r="G71" i="8"/>
  <c r="H71" i="8" s="1"/>
  <c r="F71" i="13"/>
  <c r="L71" i="13" s="1"/>
  <c r="E93" i="13" s="1"/>
  <c r="B72" i="13"/>
  <c r="M93" i="13" s="1"/>
  <c r="D72" i="13"/>
  <c r="J72" i="13" s="1"/>
  <c r="C94" i="13" s="1"/>
  <c r="E52" i="13"/>
  <c r="H52" i="13" s="1"/>
  <c r="C52" i="13"/>
  <c r="D52" i="13" s="1"/>
  <c r="G52" i="13" s="1"/>
  <c r="J52" i="13" s="1"/>
  <c r="J92" i="13"/>
  <c r="F51" i="14"/>
  <c r="I51" i="14" s="1"/>
  <c r="D51" i="14"/>
  <c r="G51" i="14" s="1"/>
  <c r="J51" i="14" s="1"/>
  <c r="I70" i="14"/>
  <c r="B92" i="14" s="1"/>
  <c r="E70" i="14"/>
  <c r="C71" i="14"/>
  <c r="J71" i="14"/>
  <c r="C93" i="14" s="1"/>
  <c r="F71" i="14"/>
  <c r="L71" i="14" s="1"/>
  <c r="E93" i="14" s="1"/>
  <c r="D72" i="14"/>
  <c r="B72" i="14"/>
  <c r="M93" i="14" s="1"/>
  <c r="B54" i="13"/>
  <c r="D73" i="13"/>
  <c r="C53" i="13"/>
  <c r="E53" i="13"/>
  <c r="H53" i="13" s="1"/>
  <c r="K70" i="13"/>
  <c r="D92" i="13" s="1"/>
  <c r="B71" i="19"/>
  <c r="M92" i="19" s="1"/>
  <c r="D71" i="19"/>
  <c r="C51" i="19"/>
  <c r="B52" i="19"/>
  <c r="E51" i="19"/>
  <c r="H51" i="19" s="1"/>
  <c r="D71" i="20"/>
  <c r="C51" i="20"/>
  <c r="B52" i="20"/>
  <c r="E51" i="20"/>
  <c r="H51" i="20" s="1"/>
  <c r="B71" i="20"/>
  <c r="M92" i="20" s="1"/>
  <c r="F50" i="19"/>
  <c r="I50" i="19" s="1"/>
  <c r="D50" i="19"/>
  <c r="G50" i="19" s="1"/>
  <c r="J50" i="19" s="1"/>
  <c r="C70" i="19"/>
  <c r="F70" i="19"/>
  <c r="L70" i="19" s="1"/>
  <c r="E92" i="19" s="1"/>
  <c r="J70" i="19"/>
  <c r="C92" i="19" s="1"/>
  <c r="F50" i="20"/>
  <c r="I50" i="20" s="1"/>
  <c r="D50" i="20"/>
  <c r="G50" i="20" s="1"/>
  <c r="J50" i="20" s="1"/>
  <c r="J70" i="20"/>
  <c r="C92" i="20" s="1"/>
  <c r="C70" i="20"/>
  <c r="F70" i="20"/>
  <c r="L70" i="20" s="1"/>
  <c r="E92" i="20" s="1"/>
  <c r="N74" i="34" l="1"/>
  <c r="F96" i="34"/>
  <c r="C100" i="35"/>
  <c r="I78" i="35"/>
  <c r="L78" i="35"/>
  <c r="E100" i="35" s="1"/>
  <c r="B79" i="35"/>
  <c r="M100" i="35" s="1"/>
  <c r="J79" i="35"/>
  <c r="F59" i="35"/>
  <c r="H59" i="35"/>
  <c r="E60" i="35"/>
  <c r="D98" i="35"/>
  <c r="I98" i="35" s="1"/>
  <c r="J74" i="31"/>
  <c r="L74" i="31" s="1"/>
  <c r="E96" i="31" s="1"/>
  <c r="B99" i="35"/>
  <c r="J99" i="35" s="1"/>
  <c r="K77" i="35"/>
  <c r="I58" i="35"/>
  <c r="G58" i="35"/>
  <c r="J58" i="35" s="1"/>
  <c r="N74" i="35"/>
  <c r="G96" i="35" s="1"/>
  <c r="E52" i="14"/>
  <c r="H52" i="14" s="1"/>
  <c r="B53" i="14"/>
  <c r="D73" i="14" s="1"/>
  <c r="C71" i="13"/>
  <c r="E71" i="13" s="1"/>
  <c r="D84" i="35"/>
  <c r="D85" i="35" s="1"/>
  <c r="C64" i="35"/>
  <c r="D64" i="35" s="1"/>
  <c r="F83" i="35"/>
  <c r="C83" i="35"/>
  <c r="A84" i="35"/>
  <c r="A106" i="35" s="1"/>
  <c r="A64" i="35"/>
  <c r="A85" i="35" s="1"/>
  <c r="A107" i="35" s="1"/>
  <c r="E82" i="35"/>
  <c r="G81" i="35"/>
  <c r="H81" i="35" s="1"/>
  <c r="L78" i="34"/>
  <c r="E100" i="34" s="1"/>
  <c r="I78" i="34"/>
  <c r="C100" i="34"/>
  <c r="B99" i="34"/>
  <c r="J99" i="34" s="1"/>
  <c r="K77" i="34"/>
  <c r="G58" i="34"/>
  <c r="J58" i="34" s="1"/>
  <c r="I58" i="34"/>
  <c r="J79" i="34"/>
  <c r="H59" i="34"/>
  <c r="B79" i="34"/>
  <c r="M100" i="34" s="1"/>
  <c r="E60" i="34"/>
  <c r="F59" i="34"/>
  <c r="B64" i="34"/>
  <c r="C63" i="34"/>
  <c r="D63" i="34" s="1"/>
  <c r="D83" i="34"/>
  <c r="F82" i="34"/>
  <c r="C82" i="34"/>
  <c r="E82" i="34" s="1"/>
  <c r="G82" i="34" s="1"/>
  <c r="H82" i="34" s="1"/>
  <c r="L98" i="34"/>
  <c r="N98" i="34" s="1"/>
  <c r="M76" i="34"/>
  <c r="A63" i="34"/>
  <c r="A83" i="34"/>
  <c r="A105" i="34" s="1"/>
  <c r="H74" i="31"/>
  <c r="I73" i="27"/>
  <c r="B93" i="31"/>
  <c r="J93" i="31" s="1"/>
  <c r="K71" i="31"/>
  <c r="D93" i="31" s="1"/>
  <c r="I93" i="31" s="1"/>
  <c r="C94" i="31"/>
  <c r="L72" i="31"/>
  <c r="E94" i="31" s="1"/>
  <c r="I72" i="31"/>
  <c r="B73" i="27"/>
  <c r="M94" i="27" s="1"/>
  <c r="F54" i="31"/>
  <c r="I54" i="31" s="1"/>
  <c r="B74" i="31"/>
  <c r="M95" i="31" s="1"/>
  <c r="I72" i="27"/>
  <c r="K72" i="27" s="1"/>
  <c r="D94" i="27" s="1"/>
  <c r="I94" i="27" s="1"/>
  <c r="L72" i="9"/>
  <c r="E94" i="9" s="1"/>
  <c r="E70" i="5"/>
  <c r="K70" i="5" s="1"/>
  <c r="D92" i="5" s="1"/>
  <c r="C95" i="31"/>
  <c r="H54" i="31"/>
  <c r="L73" i="31"/>
  <c r="E95" i="31" s="1"/>
  <c r="E54" i="30"/>
  <c r="B73" i="30"/>
  <c r="M94" i="30" s="1"/>
  <c r="F53" i="30"/>
  <c r="H53" i="30"/>
  <c r="J73" i="30"/>
  <c r="B93" i="30"/>
  <c r="J93" i="30" s="1"/>
  <c r="K71" i="30"/>
  <c r="C94" i="30"/>
  <c r="I72" i="30"/>
  <c r="L72" i="30"/>
  <c r="E94" i="30" s="1"/>
  <c r="I52" i="30"/>
  <c r="G52" i="30"/>
  <c r="J52" i="30" s="1"/>
  <c r="L72" i="27"/>
  <c r="E94" i="27" s="1"/>
  <c r="C94" i="27"/>
  <c r="C76" i="28"/>
  <c r="E76" i="28" s="1"/>
  <c r="H93" i="31"/>
  <c r="K93" i="31" s="1"/>
  <c r="L93" i="31" s="1"/>
  <c r="N93" i="31" s="1"/>
  <c r="B95" i="31"/>
  <c r="J95" i="31" s="1"/>
  <c r="K73" i="31"/>
  <c r="F77" i="31"/>
  <c r="C77" i="31"/>
  <c r="A77" i="31"/>
  <c r="A99" i="31" s="1"/>
  <c r="A57" i="31"/>
  <c r="E56" i="31"/>
  <c r="F55" i="31"/>
  <c r="J75" i="31"/>
  <c r="H55" i="31"/>
  <c r="E76" i="31"/>
  <c r="I74" i="31"/>
  <c r="C96" i="31"/>
  <c r="D78" i="31"/>
  <c r="B59" i="31"/>
  <c r="C58" i="31"/>
  <c r="D58" i="31" s="1"/>
  <c r="G75" i="31"/>
  <c r="C76" i="30"/>
  <c r="F76" i="30"/>
  <c r="E75" i="30"/>
  <c r="A77" i="30"/>
  <c r="A99" i="30" s="1"/>
  <c r="A57" i="30"/>
  <c r="G74" i="30"/>
  <c r="H74" i="30" s="1"/>
  <c r="D77" i="30"/>
  <c r="C57" i="30"/>
  <c r="D57" i="30" s="1"/>
  <c r="B58" i="30"/>
  <c r="F76" i="28"/>
  <c r="E55" i="27"/>
  <c r="F55" i="27" s="1"/>
  <c r="G52" i="27"/>
  <c r="J52" i="27" s="1"/>
  <c r="H54" i="27"/>
  <c r="K71" i="27"/>
  <c r="D93" i="27" s="1"/>
  <c r="H93" i="27" s="1"/>
  <c r="K93" i="27" s="1"/>
  <c r="B93" i="27"/>
  <c r="J93" i="27" s="1"/>
  <c r="D78" i="28"/>
  <c r="B59" i="28"/>
  <c r="C58" i="28"/>
  <c r="D58" i="28" s="1"/>
  <c r="A77" i="28"/>
  <c r="A99" i="28" s="1"/>
  <c r="A57" i="28"/>
  <c r="F77" i="28"/>
  <c r="C77" i="28"/>
  <c r="G75" i="28"/>
  <c r="G74" i="28"/>
  <c r="H74" i="28" s="1"/>
  <c r="H74" i="27"/>
  <c r="B95" i="27"/>
  <c r="J95" i="27" s="1"/>
  <c r="K73" i="27"/>
  <c r="A77" i="27"/>
  <c r="A99" i="27" s="1"/>
  <c r="A57" i="27"/>
  <c r="F77" i="27"/>
  <c r="C77" i="27"/>
  <c r="E76" i="27"/>
  <c r="I74" i="27"/>
  <c r="C96" i="27"/>
  <c r="L74" i="27"/>
  <c r="E96" i="27" s="1"/>
  <c r="D78" i="27"/>
  <c r="B59" i="27"/>
  <c r="C58" i="27"/>
  <c r="D58" i="27" s="1"/>
  <c r="I54" i="27"/>
  <c r="G54" i="27"/>
  <c r="J54" i="27" s="1"/>
  <c r="G75" i="27"/>
  <c r="E52" i="25"/>
  <c r="F51" i="25"/>
  <c r="J71" i="25"/>
  <c r="H51" i="25"/>
  <c r="G50" i="25"/>
  <c r="J50" i="25" s="1"/>
  <c r="I50" i="25"/>
  <c r="E75" i="25"/>
  <c r="D77" i="25"/>
  <c r="C57" i="25"/>
  <c r="D57" i="25" s="1"/>
  <c r="B58" i="25"/>
  <c r="F76" i="25"/>
  <c r="C76" i="25"/>
  <c r="A57" i="25"/>
  <c r="A77" i="25"/>
  <c r="A99" i="25" s="1"/>
  <c r="G74" i="25"/>
  <c r="H74" i="25" s="1"/>
  <c r="G50" i="24"/>
  <c r="J50" i="24" s="1"/>
  <c r="I50" i="24"/>
  <c r="E52" i="24"/>
  <c r="F51" i="24"/>
  <c r="J71" i="24"/>
  <c r="H51" i="24"/>
  <c r="E75" i="24"/>
  <c r="D77" i="24"/>
  <c r="C57" i="24"/>
  <c r="D57" i="24" s="1"/>
  <c r="B58" i="24"/>
  <c r="F76" i="24"/>
  <c r="C76" i="24"/>
  <c r="A57" i="24"/>
  <c r="A77" i="24"/>
  <c r="A99" i="24" s="1"/>
  <c r="G74" i="24"/>
  <c r="H74" i="24" s="1"/>
  <c r="D70" i="17"/>
  <c r="F70" i="17" s="1"/>
  <c r="L70" i="17" s="1"/>
  <c r="E92" i="17" s="1"/>
  <c r="B51" i="17"/>
  <c r="E51" i="17" s="1"/>
  <c r="H51" i="17" s="1"/>
  <c r="E50" i="17"/>
  <c r="H50" i="17" s="1"/>
  <c r="C50" i="17"/>
  <c r="D50" i="17" s="1"/>
  <c r="G50" i="17" s="1"/>
  <c r="J50" i="17" s="1"/>
  <c r="D49" i="16"/>
  <c r="G49" i="16" s="1"/>
  <c r="J49" i="16" s="1"/>
  <c r="F49" i="16"/>
  <c r="I49" i="16" s="1"/>
  <c r="B52" i="17"/>
  <c r="C50" i="16"/>
  <c r="E50" i="16"/>
  <c r="H50" i="16" s="1"/>
  <c r="B51" i="16"/>
  <c r="D70" i="16"/>
  <c r="F49" i="17"/>
  <c r="I49" i="17" s="1"/>
  <c r="D49" i="17"/>
  <c r="G49" i="17" s="1"/>
  <c r="J49" i="17" s="1"/>
  <c r="F52" i="13"/>
  <c r="I52" i="13" s="1"/>
  <c r="B73" i="13"/>
  <c r="M94" i="13" s="1"/>
  <c r="K71" i="9"/>
  <c r="D93" i="9" s="1"/>
  <c r="H93" i="9" s="1"/>
  <c r="K93" i="9" s="1"/>
  <c r="I52" i="9"/>
  <c r="F53" i="9"/>
  <c r="I53" i="9" s="1"/>
  <c r="C94" i="9"/>
  <c r="J73" i="9"/>
  <c r="I73" i="9" s="1"/>
  <c r="H53" i="9"/>
  <c r="B73" i="9"/>
  <c r="M94" i="9" s="1"/>
  <c r="F73" i="8"/>
  <c r="D74" i="8"/>
  <c r="C74" i="8" s="1"/>
  <c r="F70" i="5"/>
  <c r="L70" i="5" s="1"/>
  <c r="E92" i="5" s="1"/>
  <c r="B71" i="5"/>
  <c r="M92" i="5" s="1"/>
  <c r="D71" i="5"/>
  <c r="E51" i="5"/>
  <c r="H51" i="5" s="1"/>
  <c r="B52" i="5"/>
  <c r="C51" i="5"/>
  <c r="J70" i="5"/>
  <c r="C92" i="5" s="1"/>
  <c r="J92" i="6"/>
  <c r="J92" i="5"/>
  <c r="K70" i="6"/>
  <c r="D92" i="6" s="1"/>
  <c r="F52" i="6"/>
  <c r="I52" i="6" s="1"/>
  <c r="D52" i="6"/>
  <c r="G52" i="6" s="1"/>
  <c r="J52" i="6" s="1"/>
  <c r="C72" i="6"/>
  <c r="F72" i="6"/>
  <c r="L72" i="6" s="1"/>
  <c r="E94" i="6" s="1"/>
  <c r="J72" i="6"/>
  <c r="C94" i="6" s="1"/>
  <c r="E71" i="6"/>
  <c r="I71" i="6"/>
  <c r="B93" i="6" s="1"/>
  <c r="D73" i="6"/>
  <c r="B54" i="6"/>
  <c r="E53" i="6"/>
  <c r="H53" i="6" s="1"/>
  <c r="C53" i="6"/>
  <c r="B73" i="6"/>
  <c r="M94" i="6" s="1"/>
  <c r="G72" i="8"/>
  <c r="H72" i="8" s="1"/>
  <c r="F73" i="9"/>
  <c r="C73" i="9"/>
  <c r="E55" i="9"/>
  <c r="F54" i="9"/>
  <c r="J74" i="9"/>
  <c r="H54" i="9"/>
  <c r="G71" i="9"/>
  <c r="H71" i="9" s="1"/>
  <c r="C54" i="9"/>
  <c r="D54" i="9" s="1"/>
  <c r="D74" i="9"/>
  <c r="B55" i="9"/>
  <c r="B56" i="8"/>
  <c r="C55" i="8"/>
  <c r="D55" i="8" s="1"/>
  <c r="K72" i="9"/>
  <c r="B94" i="9"/>
  <c r="J94" i="9" s="1"/>
  <c r="E72" i="9"/>
  <c r="E73" i="8"/>
  <c r="C72" i="13"/>
  <c r="I72" i="13" s="1"/>
  <c r="B94" i="13" s="1"/>
  <c r="F72" i="13"/>
  <c r="L72" i="13" s="1"/>
  <c r="E94" i="13" s="1"/>
  <c r="F52" i="14"/>
  <c r="I52" i="14" s="1"/>
  <c r="D52" i="14"/>
  <c r="G52" i="14" s="1"/>
  <c r="J52" i="14" s="1"/>
  <c r="J92" i="14"/>
  <c r="I92" i="13"/>
  <c r="C72" i="14"/>
  <c r="J72" i="14"/>
  <c r="C94" i="14" s="1"/>
  <c r="F72" i="14"/>
  <c r="L72" i="14" s="1"/>
  <c r="E94" i="14" s="1"/>
  <c r="I71" i="14"/>
  <c r="B93" i="14" s="1"/>
  <c r="E71" i="14"/>
  <c r="H92" i="13"/>
  <c r="K92" i="13" s="1"/>
  <c r="B73" i="14"/>
  <c r="M94" i="14" s="1"/>
  <c r="B54" i="14"/>
  <c r="E53" i="14"/>
  <c r="H53" i="14" s="1"/>
  <c r="C53" i="14"/>
  <c r="K70" i="14"/>
  <c r="D92" i="14" s="1"/>
  <c r="K71" i="13"/>
  <c r="D93" i="13" s="1"/>
  <c r="D53" i="13"/>
  <c r="G53" i="13" s="1"/>
  <c r="J53" i="13" s="1"/>
  <c r="F53" i="13"/>
  <c r="I53" i="13" s="1"/>
  <c r="C73" i="13"/>
  <c r="J73" i="13"/>
  <c r="C95" i="13" s="1"/>
  <c r="F73" i="13"/>
  <c r="L73" i="13" s="1"/>
  <c r="E95" i="13" s="1"/>
  <c r="C54" i="13"/>
  <c r="B55" i="13"/>
  <c r="D74" i="13"/>
  <c r="E54" i="13"/>
  <c r="H54" i="13" s="1"/>
  <c r="B72" i="19"/>
  <c r="M93" i="19" s="1"/>
  <c r="D72" i="19"/>
  <c r="C52" i="19"/>
  <c r="B53" i="19"/>
  <c r="E52" i="19"/>
  <c r="H52" i="19" s="1"/>
  <c r="E70" i="20"/>
  <c r="I70" i="20"/>
  <c r="B92" i="20" s="1"/>
  <c r="F51" i="20"/>
  <c r="I51" i="20" s="1"/>
  <c r="D51" i="20"/>
  <c r="G51" i="20" s="1"/>
  <c r="J51" i="20" s="1"/>
  <c r="F51" i="19"/>
  <c r="I51" i="19" s="1"/>
  <c r="D51" i="19"/>
  <c r="G51" i="19" s="1"/>
  <c r="J51" i="19" s="1"/>
  <c r="C71" i="20"/>
  <c r="F71" i="20"/>
  <c r="L71" i="20" s="1"/>
  <c r="E93" i="20" s="1"/>
  <c r="J71" i="20"/>
  <c r="C93" i="20" s="1"/>
  <c r="C71" i="19"/>
  <c r="F71" i="19"/>
  <c r="L71" i="19" s="1"/>
  <c r="E93" i="19" s="1"/>
  <c r="J71" i="19"/>
  <c r="C93" i="19" s="1"/>
  <c r="D72" i="20"/>
  <c r="C52" i="20"/>
  <c r="E52" i="20"/>
  <c r="H52" i="20" s="1"/>
  <c r="B53" i="20"/>
  <c r="B72" i="20"/>
  <c r="M93" i="20" s="1"/>
  <c r="I70" i="19"/>
  <c r="B92" i="19" s="1"/>
  <c r="E70" i="19"/>
  <c r="D99" i="35" l="1"/>
  <c r="I99" i="35" s="1"/>
  <c r="H99" i="35"/>
  <c r="K99" i="35" s="1"/>
  <c r="L99" i="35" s="1"/>
  <c r="N99" i="35" s="1"/>
  <c r="M77" i="35"/>
  <c r="F99" i="35" s="1"/>
  <c r="C101" i="35"/>
  <c r="L79" i="35"/>
  <c r="E101" i="35" s="1"/>
  <c r="I79" i="35"/>
  <c r="J80" i="35"/>
  <c r="E61" i="35"/>
  <c r="B80" i="35"/>
  <c r="M101" i="35" s="1"/>
  <c r="F60" i="35"/>
  <c r="H60" i="35"/>
  <c r="G96" i="34"/>
  <c r="N75" i="34"/>
  <c r="G97" i="34" s="1"/>
  <c r="H75" i="31"/>
  <c r="H98" i="35"/>
  <c r="I59" i="35"/>
  <c r="G59" i="35"/>
  <c r="J59" i="35" s="1"/>
  <c r="B100" i="35"/>
  <c r="J100" i="35" s="1"/>
  <c r="K78" i="35"/>
  <c r="N75" i="35"/>
  <c r="G97" i="35" s="1"/>
  <c r="I71" i="13"/>
  <c r="B93" i="13" s="1"/>
  <c r="F85" i="35"/>
  <c r="C85" i="35"/>
  <c r="F41" i="35"/>
  <c r="E83" i="35"/>
  <c r="G82" i="35"/>
  <c r="H82" i="35" s="1"/>
  <c r="F84" i="35"/>
  <c r="C84" i="35"/>
  <c r="D99" i="34"/>
  <c r="H99" i="34" s="1"/>
  <c r="K99" i="34" s="1"/>
  <c r="G59" i="34"/>
  <c r="J59" i="34" s="1"/>
  <c r="I59" i="34"/>
  <c r="I79" i="34"/>
  <c r="C101" i="34"/>
  <c r="L79" i="34"/>
  <c r="E101" i="34" s="1"/>
  <c r="H60" i="34"/>
  <c r="B80" i="34"/>
  <c r="M101" i="34" s="1"/>
  <c r="J80" i="34"/>
  <c r="E61" i="34"/>
  <c r="F60" i="34"/>
  <c r="B100" i="34"/>
  <c r="J100" i="34" s="1"/>
  <c r="K78" i="34"/>
  <c r="D100" i="34" s="1"/>
  <c r="H100" i="34" s="1"/>
  <c r="K100" i="34" s="1"/>
  <c r="D84" i="34"/>
  <c r="C64" i="34"/>
  <c r="D64" i="34" s="1"/>
  <c r="F83" i="34"/>
  <c r="C83" i="34"/>
  <c r="E83" i="34" s="1"/>
  <c r="G83" i="34" s="1"/>
  <c r="H83" i="34" s="1"/>
  <c r="F98" i="34"/>
  <c r="N76" i="34"/>
  <c r="G98" i="34" s="1"/>
  <c r="A64" i="34"/>
  <c r="A85" i="34" s="1"/>
  <c r="A107" i="34" s="1"/>
  <c r="A84" i="34"/>
  <c r="A106" i="34" s="1"/>
  <c r="G54" i="31"/>
  <c r="J54" i="31" s="1"/>
  <c r="B74" i="27"/>
  <c r="M95" i="27" s="1"/>
  <c r="B94" i="27"/>
  <c r="J94" i="27" s="1"/>
  <c r="J75" i="27"/>
  <c r="L75" i="27" s="1"/>
  <c r="E97" i="27" s="1"/>
  <c r="K72" i="31"/>
  <c r="D94" i="31" s="1"/>
  <c r="I94" i="31" s="1"/>
  <c r="B94" i="31"/>
  <c r="J94" i="31" s="1"/>
  <c r="E56" i="27"/>
  <c r="H56" i="27" s="1"/>
  <c r="H55" i="27"/>
  <c r="B75" i="31"/>
  <c r="M96" i="31" s="1"/>
  <c r="G53" i="9"/>
  <c r="J53" i="9" s="1"/>
  <c r="B71" i="17"/>
  <c r="M92" i="17" s="1"/>
  <c r="D93" i="30"/>
  <c r="I93" i="30" s="1"/>
  <c r="G53" i="30"/>
  <c r="J53" i="30" s="1"/>
  <c r="I53" i="30"/>
  <c r="B94" i="30"/>
  <c r="J94" i="30" s="1"/>
  <c r="K72" i="30"/>
  <c r="D94" i="30" s="1"/>
  <c r="H94" i="30" s="1"/>
  <c r="K94" i="30" s="1"/>
  <c r="I73" i="30"/>
  <c r="C95" i="30"/>
  <c r="L73" i="30"/>
  <c r="E95" i="30" s="1"/>
  <c r="E55" i="30"/>
  <c r="H54" i="30"/>
  <c r="J74" i="30"/>
  <c r="B74" i="30"/>
  <c r="M95" i="30" s="1"/>
  <c r="F54" i="30"/>
  <c r="B74" i="9"/>
  <c r="M71" i="31"/>
  <c r="F93" i="31" s="1"/>
  <c r="I55" i="31"/>
  <c r="G55" i="31"/>
  <c r="J55" i="31" s="1"/>
  <c r="E77" i="31"/>
  <c r="D95" i="31"/>
  <c r="H95" i="31" s="1"/>
  <c r="E57" i="31"/>
  <c r="H56" i="31"/>
  <c r="J76" i="31"/>
  <c r="F56" i="31"/>
  <c r="D79" i="31"/>
  <c r="B60" i="31"/>
  <c r="C59" i="31"/>
  <c r="D59" i="31" s="1"/>
  <c r="B96" i="31"/>
  <c r="J96" i="31" s="1"/>
  <c r="K74" i="31"/>
  <c r="A58" i="31"/>
  <c r="A78" i="31"/>
  <c r="A100" i="31" s="1"/>
  <c r="C78" i="31"/>
  <c r="F78" i="31"/>
  <c r="G76" i="31"/>
  <c r="H76" i="31" s="1"/>
  <c r="I75" i="31"/>
  <c r="C97" i="31"/>
  <c r="L75" i="31"/>
  <c r="E97" i="31" s="1"/>
  <c r="D78" i="30"/>
  <c r="C58" i="30"/>
  <c r="D58" i="30" s="1"/>
  <c r="B59" i="30"/>
  <c r="E76" i="30"/>
  <c r="F77" i="30"/>
  <c r="C77" i="30"/>
  <c r="A58" i="30"/>
  <c r="A78" i="30"/>
  <c r="A100" i="30" s="1"/>
  <c r="G75" i="30"/>
  <c r="H75" i="30" s="1"/>
  <c r="I93" i="27"/>
  <c r="M71" i="27" s="1"/>
  <c r="F93" i="27" s="1"/>
  <c r="H75" i="27"/>
  <c r="H75" i="28"/>
  <c r="A58" i="28"/>
  <c r="A78" i="28"/>
  <c r="A100" i="28" s="1"/>
  <c r="E77" i="28"/>
  <c r="G76" i="28"/>
  <c r="D79" i="28"/>
  <c r="B60" i="28"/>
  <c r="C59" i="28"/>
  <c r="D59" i="28" s="1"/>
  <c r="C78" i="28"/>
  <c r="F78" i="28"/>
  <c r="H94" i="27"/>
  <c r="F56" i="27"/>
  <c r="A58" i="27"/>
  <c r="A78" i="27"/>
  <c r="A100" i="27" s="1"/>
  <c r="D79" i="27"/>
  <c r="B60" i="27"/>
  <c r="C59" i="27"/>
  <c r="D59" i="27" s="1"/>
  <c r="B96" i="27"/>
  <c r="J96" i="27" s="1"/>
  <c r="K74" i="27"/>
  <c r="E77" i="27"/>
  <c r="C78" i="27"/>
  <c r="F78" i="27"/>
  <c r="G76" i="27"/>
  <c r="I55" i="27"/>
  <c r="G55" i="27"/>
  <c r="J55" i="27" s="1"/>
  <c r="D95" i="27"/>
  <c r="H95" i="27" s="1"/>
  <c r="L71" i="25"/>
  <c r="E93" i="25" s="1"/>
  <c r="I71" i="25"/>
  <c r="C93" i="25"/>
  <c r="I51" i="25"/>
  <c r="G51" i="25"/>
  <c r="J51" i="25" s="1"/>
  <c r="F52" i="25"/>
  <c r="B72" i="25"/>
  <c r="M93" i="25" s="1"/>
  <c r="E53" i="25"/>
  <c r="J72" i="25"/>
  <c r="H52" i="25"/>
  <c r="A78" i="25"/>
  <c r="A100" i="25" s="1"/>
  <c r="A58" i="25"/>
  <c r="C77" i="25"/>
  <c r="F77" i="25"/>
  <c r="E76" i="25"/>
  <c r="G75" i="25"/>
  <c r="H75" i="25" s="1"/>
  <c r="C58" i="25"/>
  <c r="D58" i="25" s="1"/>
  <c r="D78" i="25"/>
  <c r="B59" i="25"/>
  <c r="I71" i="24"/>
  <c r="C93" i="24"/>
  <c r="L71" i="24"/>
  <c r="E93" i="24" s="1"/>
  <c r="I51" i="24"/>
  <c r="G51" i="24"/>
  <c r="J51" i="24" s="1"/>
  <c r="H52" i="24"/>
  <c r="B72" i="24"/>
  <c r="M93" i="24" s="1"/>
  <c r="F52" i="24"/>
  <c r="J72" i="24"/>
  <c r="E53" i="24"/>
  <c r="A78" i="24"/>
  <c r="A100" i="24" s="1"/>
  <c r="A58" i="24"/>
  <c r="C77" i="24"/>
  <c r="F77" i="24"/>
  <c r="E76" i="24"/>
  <c r="G75" i="24"/>
  <c r="H75" i="24" s="1"/>
  <c r="C58" i="24"/>
  <c r="D58" i="24" s="1"/>
  <c r="D78" i="24"/>
  <c r="B59" i="24"/>
  <c r="J70" i="17"/>
  <c r="C92" i="17" s="1"/>
  <c r="C51" i="17"/>
  <c r="D51" i="17" s="1"/>
  <c r="G51" i="17" s="1"/>
  <c r="J51" i="17" s="1"/>
  <c r="D71" i="17"/>
  <c r="C71" i="17" s="1"/>
  <c r="C70" i="17"/>
  <c r="I70" i="17" s="1"/>
  <c r="B92" i="17" s="1"/>
  <c r="F50" i="17"/>
  <c r="I50" i="17" s="1"/>
  <c r="F70" i="16"/>
  <c r="L70" i="16" s="1"/>
  <c r="E92" i="16" s="1"/>
  <c r="J70" i="16"/>
  <c r="C92" i="16" s="1"/>
  <c r="C70" i="16"/>
  <c r="B53" i="17"/>
  <c r="C52" i="17"/>
  <c r="D72" i="17"/>
  <c r="E52" i="17"/>
  <c r="H52" i="17" s="1"/>
  <c r="B52" i="16"/>
  <c r="C51" i="16"/>
  <c r="D71" i="16"/>
  <c r="B71" i="16"/>
  <c r="M92" i="16" s="1"/>
  <c r="E51" i="16"/>
  <c r="H51" i="16" s="1"/>
  <c r="F50" i="16"/>
  <c r="I50" i="16" s="1"/>
  <c r="D50" i="16"/>
  <c r="G50" i="16" s="1"/>
  <c r="J50" i="16" s="1"/>
  <c r="E72" i="13"/>
  <c r="K72" i="13" s="1"/>
  <c r="D94" i="13" s="1"/>
  <c r="B74" i="13"/>
  <c r="M95" i="13" s="1"/>
  <c r="C95" i="9"/>
  <c r="L73" i="9"/>
  <c r="E95" i="9" s="1"/>
  <c r="D75" i="8"/>
  <c r="F75" i="8" s="1"/>
  <c r="F74" i="8"/>
  <c r="C52" i="5"/>
  <c r="B72" i="5"/>
  <c r="M93" i="5" s="1"/>
  <c r="E52" i="5"/>
  <c r="H52" i="5" s="1"/>
  <c r="B53" i="5"/>
  <c r="D72" i="5"/>
  <c r="C71" i="5"/>
  <c r="F71" i="5"/>
  <c r="L71" i="5" s="1"/>
  <c r="E93" i="5" s="1"/>
  <c r="J71" i="5"/>
  <c r="C93" i="5" s="1"/>
  <c r="F51" i="5"/>
  <c r="I51" i="5" s="1"/>
  <c r="D51" i="5"/>
  <c r="G51" i="5" s="1"/>
  <c r="J51" i="5" s="1"/>
  <c r="I93" i="9"/>
  <c r="M71" i="9" s="1"/>
  <c r="C73" i="6"/>
  <c r="J73" i="6"/>
  <c r="C95" i="6" s="1"/>
  <c r="F73" i="6"/>
  <c r="L73" i="6" s="1"/>
  <c r="E95" i="6" s="1"/>
  <c r="I92" i="6"/>
  <c r="D53" i="6"/>
  <c r="G53" i="6" s="1"/>
  <c r="J53" i="6" s="1"/>
  <c r="F53" i="6"/>
  <c r="I53" i="6" s="1"/>
  <c r="J93" i="6"/>
  <c r="E72" i="6"/>
  <c r="I72" i="6"/>
  <c r="B94" i="6" s="1"/>
  <c r="H92" i="5"/>
  <c r="K71" i="6"/>
  <c r="D93" i="6" s="1"/>
  <c r="B74" i="6"/>
  <c r="M95" i="6" s="1"/>
  <c r="D74" i="6"/>
  <c r="B55" i="6"/>
  <c r="E54" i="6"/>
  <c r="H54" i="6" s="1"/>
  <c r="C54" i="6"/>
  <c r="I92" i="5"/>
  <c r="H92" i="6"/>
  <c r="E74" i="8"/>
  <c r="B57" i="8"/>
  <c r="C56" i="8"/>
  <c r="D56" i="8" s="1"/>
  <c r="D94" i="9"/>
  <c r="H94" i="9" s="1"/>
  <c r="K94" i="9" s="1"/>
  <c r="D75" i="9"/>
  <c r="B56" i="9"/>
  <c r="C55" i="9"/>
  <c r="D55" i="9" s="1"/>
  <c r="J75" i="9"/>
  <c r="F55" i="9"/>
  <c r="E56" i="9"/>
  <c r="H55" i="9"/>
  <c r="K73" i="9"/>
  <c r="B95" i="9"/>
  <c r="J95" i="9" s="1"/>
  <c r="F74" i="9"/>
  <c r="C74" i="9"/>
  <c r="I74" i="9"/>
  <c r="L74" i="9"/>
  <c r="E96" i="9" s="1"/>
  <c r="C96" i="9"/>
  <c r="G73" i="8"/>
  <c r="H73" i="8" s="1"/>
  <c r="G72" i="9"/>
  <c r="H72" i="9" s="1"/>
  <c r="G54" i="9"/>
  <c r="J54" i="9" s="1"/>
  <c r="I54" i="9"/>
  <c r="E73" i="9"/>
  <c r="J93" i="13"/>
  <c r="L92" i="13"/>
  <c r="N92" i="13" s="1"/>
  <c r="G70" i="13"/>
  <c r="M70" i="13" s="1"/>
  <c r="F92" i="13" s="1"/>
  <c r="H92" i="14"/>
  <c r="J93" i="14"/>
  <c r="B55" i="14"/>
  <c r="D74" i="14"/>
  <c r="B74" i="14"/>
  <c r="M95" i="14" s="1"/>
  <c r="C54" i="14"/>
  <c r="E54" i="14"/>
  <c r="H54" i="14" s="1"/>
  <c r="D53" i="14"/>
  <c r="G53" i="14" s="1"/>
  <c r="J53" i="14" s="1"/>
  <c r="F53" i="14"/>
  <c r="I53" i="14" s="1"/>
  <c r="E72" i="14"/>
  <c r="I72" i="14"/>
  <c r="B94" i="14" s="1"/>
  <c r="I92" i="14"/>
  <c r="C73" i="14"/>
  <c r="J73" i="14"/>
  <c r="C95" i="14" s="1"/>
  <c r="F73" i="14"/>
  <c r="L73" i="14" s="1"/>
  <c r="E95" i="14" s="1"/>
  <c r="K71" i="14"/>
  <c r="D93" i="14" s="1"/>
  <c r="I93" i="13"/>
  <c r="C74" i="13"/>
  <c r="F74" i="13"/>
  <c r="L74" i="13" s="1"/>
  <c r="E96" i="13" s="1"/>
  <c r="J74" i="13"/>
  <c r="C96" i="13" s="1"/>
  <c r="J94" i="13"/>
  <c r="B56" i="13"/>
  <c r="D75" i="13"/>
  <c r="C55" i="13"/>
  <c r="E55" i="13"/>
  <c r="H55" i="13" s="1"/>
  <c r="H93" i="13"/>
  <c r="F54" i="13"/>
  <c r="I54" i="13" s="1"/>
  <c r="D54" i="13"/>
  <c r="G54" i="13" s="1"/>
  <c r="J54" i="13" s="1"/>
  <c r="E73" i="13"/>
  <c r="I73" i="13"/>
  <c r="B95" i="13" s="1"/>
  <c r="J92" i="19"/>
  <c r="B73" i="20"/>
  <c r="M94" i="20" s="1"/>
  <c r="C53" i="20"/>
  <c r="D73" i="20"/>
  <c r="B54" i="20"/>
  <c r="E53" i="20"/>
  <c r="H53" i="20" s="1"/>
  <c r="B73" i="19"/>
  <c r="M94" i="19" s="1"/>
  <c r="D73" i="19"/>
  <c r="C53" i="19"/>
  <c r="B54" i="19"/>
  <c r="E53" i="19"/>
  <c r="H53" i="19" s="1"/>
  <c r="K70" i="19"/>
  <c r="D92" i="19" s="1"/>
  <c r="E71" i="20"/>
  <c r="I71" i="20"/>
  <c r="B93" i="20" s="1"/>
  <c r="J92" i="20"/>
  <c r="F52" i="19"/>
  <c r="I52" i="19" s="1"/>
  <c r="D52" i="19"/>
  <c r="G52" i="19" s="1"/>
  <c r="J52" i="19" s="1"/>
  <c r="F52" i="20"/>
  <c r="I52" i="20" s="1"/>
  <c r="D52" i="20"/>
  <c r="G52" i="20" s="1"/>
  <c r="J52" i="20" s="1"/>
  <c r="I71" i="19"/>
  <c r="B93" i="19" s="1"/>
  <c r="E71" i="19"/>
  <c r="K70" i="20"/>
  <c r="D92" i="20" s="1"/>
  <c r="C72" i="19"/>
  <c r="J72" i="19"/>
  <c r="C94" i="19" s="1"/>
  <c r="F72" i="19"/>
  <c r="L72" i="19" s="1"/>
  <c r="E94" i="19" s="1"/>
  <c r="C72" i="20"/>
  <c r="J72" i="20"/>
  <c r="C94" i="20" s="1"/>
  <c r="F72" i="20"/>
  <c r="L72" i="20" s="1"/>
  <c r="E94" i="20" s="1"/>
  <c r="B81" i="35" l="1"/>
  <c r="M102" i="35" s="1"/>
  <c r="H61" i="35"/>
  <c r="E62" i="35"/>
  <c r="J81" i="35"/>
  <c r="F61" i="35"/>
  <c r="D100" i="35"/>
  <c r="I100" i="35" s="1"/>
  <c r="H100" i="35"/>
  <c r="K100" i="35" s="1"/>
  <c r="L100" i="35" s="1"/>
  <c r="N100" i="35" s="1"/>
  <c r="M76" i="35"/>
  <c r="K98" i="35"/>
  <c r="L98" i="35" s="1"/>
  <c r="N98" i="35" s="1"/>
  <c r="L80" i="35"/>
  <c r="E102" i="35" s="1"/>
  <c r="I80" i="35"/>
  <c r="C102" i="35"/>
  <c r="B75" i="27"/>
  <c r="I60" i="35"/>
  <c r="G60" i="35"/>
  <c r="J60" i="35" s="1"/>
  <c r="B101" i="35"/>
  <c r="J101" i="35" s="1"/>
  <c r="K79" i="35"/>
  <c r="C97" i="27"/>
  <c r="E85" i="35"/>
  <c r="E84" i="35"/>
  <c r="G83" i="35"/>
  <c r="H83" i="35" s="1"/>
  <c r="I100" i="34"/>
  <c r="L100" i="34" s="1"/>
  <c r="N100" i="34" s="1"/>
  <c r="I60" i="34"/>
  <c r="G60" i="34"/>
  <c r="J60" i="34" s="1"/>
  <c r="E62" i="34"/>
  <c r="H61" i="34"/>
  <c r="J81" i="34"/>
  <c r="F61" i="34"/>
  <c r="B81" i="34"/>
  <c r="M102" i="34" s="1"/>
  <c r="L80" i="34"/>
  <c r="E102" i="34" s="1"/>
  <c r="C102" i="34"/>
  <c r="I80" i="34"/>
  <c r="M77" i="34"/>
  <c r="B101" i="34"/>
  <c r="J101" i="34" s="1"/>
  <c r="K79" i="34"/>
  <c r="I99" i="34"/>
  <c r="L99" i="34" s="1"/>
  <c r="N99" i="34" s="1"/>
  <c r="F84" i="34"/>
  <c r="C84" i="34"/>
  <c r="E84" i="34" s="1"/>
  <c r="G84" i="34" s="1"/>
  <c r="H84" i="34" s="1"/>
  <c r="D85" i="34"/>
  <c r="I75" i="27"/>
  <c r="J71" i="17"/>
  <c r="C93" i="17" s="1"/>
  <c r="B76" i="31"/>
  <c r="M97" i="31" s="1"/>
  <c r="E57" i="27"/>
  <c r="I94" i="30"/>
  <c r="M72" i="30" s="1"/>
  <c r="F94" i="30" s="1"/>
  <c r="H94" i="31"/>
  <c r="J76" i="27"/>
  <c r="L76" i="27" s="1"/>
  <c r="E98" i="27" s="1"/>
  <c r="F51" i="17"/>
  <c r="I51" i="17" s="1"/>
  <c r="B76" i="27"/>
  <c r="M97" i="27" s="1"/>
  <c r="M96" i="27"/>
  <c r="B72" i="17"/>
  <c r="M93" i="17" s="1"/>
  <c r="H93" i="30"/>
  <c r="B75" i="9"/>
  <c r="M96" i="9" s="1"/>
  <c r="M95" i="9"/>
  <c r="I95" i="31"/>
  <c r="M73" i="31" s="1"/>
  <c r="G54" i="30"/>
  <c r="J54" i="30" s="1"/>
  <c r="I54" i="30"/>
  <c r="H55" i="30"/>
  <c r="J75" i="30"/>
  <c r="B75" i="30"/>
  <c r="M96" i="30" s="1"/>
  <c r="E56" i="30"/>
  <c r="F55" i="30"/>
  <c r="L74" i="30"/>
  <c r="E96" i="30" s="1"/>
  <c r="C96" i="30"/>
  <c r="I74" i="30"/>
  <c r="B95" i="30"/>
  <c r="J95" i="30" s="1"/>
  <c r="K73" i="30"/>
  <c r="N71" i="31"/>
  <c r="G93" i="31" s="1"/>
  <c r="K95" i="31"/>
  <c r="E78" i="31"/>
  <c r="L76" i="31"/>
  <c r="E98" i="31" s="1"/>
  <c r="C98" i="31"/>
  <c r="I76" i="31"/>
  <c r="D96" i="31"/>
  <c r="I96" i="31" s="1"/>
  <c r="D80" i="31"/>
  <c r="B61" i="31"/>
  <c r="C60" i="31"/>
  <c r="D60" i="31" s="1"/>
  <c r="F79" i="31"/>
  <c r="C79" i="31"/>
  <c r="B97" i="31"/>
  <c r="J97" i="31" s="1"/>
  <c r="K75" i="31"/>
  <c r="A59" i="31"/>
  <c r="A79" i="31"/>
  <c r="A101" i="31" s="1"/>
  <c r="I56" i="31"/>
  <c r="G56" i="31"/>
  <c r="J56" i="31" s="1"/>
  <c r="J77" i="31"/>
  <c r="E58" i="31"/>
  <c r="H57" i="31"/>
  <c r="F57" i="31"/>
  <c r="G77" i="31"/>
  <c r="H77" i="31" s="1"/>
  <c r="A59" i="30"/>
  <c r="A79" i="30"/>
  <c r="A101" i="30" s="1"/>
  <c r="F78" i="30"/>
  <c r="C78" i="30"/>
  <c r="G76" i="30"/>
  <c r="H76" i="30" s="1"/>
  <c r="D79" i="30"/>
  <c r="C59" i="30"/>
  <c r="D59" i="30" s="1"/>
  <c r="B60" i="30"/>
  <c r="E77" i="30"/>
  <c r="L93" i="27"/>
  <c r="N93" i="27" s="1"/>
  <c r="N71" i="27"/>
  <c r="G93" i="27" s="1"/>
  <c r="H76" i="27"/>
  <c r="H76" i="28"/>
  <c r="D80" i="28"/>
  <c r="B61" i="28"/>
  <c r="C60" i="28"/>
  <c r="D60" i="28" s="1"/>
  <c r="A59" i="28"/>
  <c r="A79" i="28"/>
  <c r="A101" i="28" s="1"/>
  <c r="F79" i="28"/>
  <c r="C79" i="28"/>
  <c r="E78" i="28"/>
  <c r="G77" i="28"/>
  <c r="I95" i="27"/>
  <c r="M73" i="27" s="1"/>
  <c r="F95" i="27" s="1"/>
  <c r="B97" i="27"/>
  <c r="J97" i="27" s="1"/>
  <c r="K75" i="27"/>
  <c r="G77" i="27"/>
  <c r="K94" i="27"/>
  <c r="L94" i="27" s="1"/>
  <c r="N94" i="27" s="1"/>
  <c r="M72" i="27"/>
  <c r="E78" i="27"/>
  <c r="A59" i="27"/>
  <c r="A79" i="27"/>
  <c r="A101" i="27" s="1"/>
  <c r="D80" i="27"/>
  <c r="B61" i="27"/>
  <c r="C60" i="27"/>
  <c r="D60" i="27" s="1"/>
  <c r="I56" i="27"/>
  <c r="G56" i="27"/>
  <c r="J56" i="27" s="1"/>
  <c r="J77" i="27"/>
  <c r="F57" i="27"/>
  <c r="K95" i="27"/>
  <c r="D96" i="27"/>
  <c r="I96" i="27" s="1"/>
  <c r="F79" i="27"/>
  <c r="C79" i="27"/>
  <c r="G52" i="25"/>
  <c r="J52" i="25" s="1"/>
  <c r="I52" i="25"/>
  <c r="K71" i="25"/>
  <c r="B93" i="25"/>
  <c r="J93" i="25" s="1"/>
  <c r="I72" i="25"/>
  <c r="L72" i="25"/>
  <c r="E94" i="25" s="1"/>
  <c r="C94" i="25"/>
  <c r="H53" i="25"/>
  <c r="F53" i="25"/>
  <c r="B73" i="25"/>
  <c r="M94" i="25" s="1"/>
  <c r="J73" i="25"/>
  <c r="E54" i="25"/>
  <c r="D79" i="25"/>
  <c r="C59" i="25"/>
  <c r="D59" i="25" s="1"/>
  <c r="B60" i="25"/>
  <c r="G76" i="25"/>
  <c r="H76" i="25" s="1"/>
  <c r="E77" i="25"/>
  <c r="F78" i="25"/>
  <c r="C78" i="25"/>
  <c r="A59" i="25"/>
  <c r="A79" i="25"/>
  <c r="A101" i="25" s="1"/>
  <c r="H53" i="24"/>
  <c r="F53" i="24"/>
  <c r="E54" i="24"/>
  <c r="B73" i="24"/>
  <c r="M94" i="24" s="1"/>
  <c r="J73" i="24"/>
  <c r="L72" i="24"/>
  <c r="E94" i="24" s="1"/>
  <c r="I72" i="24"/>
  <c r="C94" i="24"/>
  <c r="K71" i="24"/>
  <c r="D93" i="24" s="1"/>
  <c r="H93" i="24" s="1"/>
  <c r="K93" i="24" s="1"/>
  <c r="B93" i="24"/>
  <c r="J93" i="24" s="1"/>
  <c r="G52" i="24"/>
  <c r="J52" i="24" s="1"/>
  <c r="I52" i="24"/>
  <c r="D79" i="24"/>
  <c r="C59" i="24"/>
  <c r="D59" i="24" s="1"/>
  <c r="B60" i="24"/>
  <c r="G76" i="24"/>
  <c r="H76" i="24" s="1"/>
  <c r="E77" i="24"/>
  <c r="F78" i="24"/>
  <c r="C78" i="24"/>
  <c r="A59" i="24"/>
  <c r="A79" i="24"/>
  <c r="A101" i="24" s="1"/>
  <c r="E70" i="17"/>
  <c r="K70" i="17" s="1"/>
  <c r="D92" i="17" s="1"/>
  <c r="F71" i="17"/>
  <c r="L71" i="17" s="1"/>
  <c r="E93" i="17" s="1"/>
  <c r="E71" i="17"/>
  <c r="K71" i="17" s="1"/>
  <c r="D93" i="17" s="1"/>
  <c r="I71" i="17"/>
  <c r="J71" i="16"/>
  <c r="C93" i="16" s="1"/>
  <c r="C71" i="16"/>
  <c r="F71" i="16"/>
  <c r="L71" i="16" s="1"/>
  <c r="E93" i="16" s="1"/>
  <c r="J72" i="17"/>
  <c r="C94" i="17" s="1"/>
  <c r="F72" i="17"/>
  <c r="L72" i="17" s="1"/>
  <c r="E94" i="17" s="1"/>
  <c r="C72" i="17"/>
  <c r="I70" i="16"/>
  <c r="B92" i="16" s="1"/>
  <c r="E70" i="16"/>
  <c r="D51" i="16"/>
  <c r="G51" i="16" s="1"/>
  <c r="J51" i="16" s="1"/>
  <c r="F51" i="16"/>
  <c r="I51" i="16" s="1"/>
  <c r="D52" i="17"/>
  <c r="G52" i="17" s="1"/>
  <c r="J52" i="17" s="1"/>
  <c r="F52" i="17"/>
  <c r="I52" i="17" s="1"/>
  <c r="H92" i="17"/>
  <c r="J92" i="17"/>
  <c r="B72" i="16"/>
  <c r="M93" i="16" s="1"/>
  <c r="E52" i="16"/>
  <c r="H52" i="16" s="1"/>
  <c r="D72" i="16"/>
  <c r="B53" i="16"/>
  <c r="C52" i="16"/>
  <c r="D73" i="17"/>
  <c r="C53" i="17"/>
  <c r="B54" i="17"/>
  <c r="E53" i="17"/>
  <c r="H53" i="17" s="1"/>
  <c r="H93" i="14"/>
  <c r="K93" i="14" s="1"/>
  <c r="G70" i="14"/>
  <c r="M70" i="14" s="1"/>
  <c r="F92" i="14" s="1"/>
  <c r="J95" i="13"/>
  <c r="B75" i="13"/>
  <c r="M96" i="13" s="1"/>
  <c r="H70" i="13"/>
  <c r="N70" i="13" s="1"/>
  <c r="G92" i="13" s="1"/>
  <c r="C75" i="8"/>
  <c r="E75" i="8" s="1"/>
  <c r="D76" i="8"/>
  <c r="F76" i="8" s="1"/>
  <c r="D73" i="5"/>
  <c r="E53" i="5"/>
  <c r="H53" i="5" s="1"/>
  <c r="B54" i="5"/>
  <c r="B73" i="5"/>
  <c r="M94" i="5" s="1"/>
  <c r="C53" i="5"/>
  <c r="E71" i="5"/>
  <c r="K71" i="5" s="1"/>
  <c r="D93" i="5" s="1"/>
  <c r="I71" i="5"/>
  <c r="B93" i="5" s="1"/>
  <c r="J72" i="5"/>
  <c r="C94" i="5" s="1"/>
  <c r="C72" i="5"/>
  <c r="F72" i="5"/>
  <c r="L72" i="5" s="1"/>
  <c r="E94" i="5" s="1"/>
  <c r="F52" i="5"/>
  <c r="I52" i="5" s="1"/>
  <c r="D52" i="5"/>
  <c r="G52" i="5" s="1"/>
  <c r="J52" i="5" s="1"/>
  <c r="I94" i="9"/>
  <c r="M72" i="9" s="1"/>
  <c r="F94" i="9" s="1"/>
  <c r="L93" i="9"/>
  <c r="N93" i="9" s="1"/>
  <c r="D75" i="6"/>
  <c r="B75" i="6"/>
  <c r="M96" i="6" s="1"/>
  <c r="B56" i="6"/>
  <c r="E55" i="6"/>
  <c r="H55" i="6" s="1"/>
  <c r="C55" i="6"/>
  <c r="J74" i="6"/>
  <c r="C96" i="6" s="1"/>
  <c r="F74" i="6"/>
  <c r="L74" i="6" s="1"/>
  <c r="E96" i="6" s="1"/>
  <c r="C74" i="6"/>
  <c r="F54" i="6"/>
  <c r="I54" i="6" s="1"/>
  <c r="D54" i="6"/>
  <c r="G54" i="6" s="1"/>
  <c r="J54" i="6" s="1"/>
  <c r="H93" i="6"/>
  <c r="K72" i="6"/>
  <c r="D94" i="6" s="1"/>
  <c r="K92" i="5"/>
  <c r="L92" i="5" s="1"/>
  <c r="N92" i="5" s="1"/>
  <c r="G70" i="5"/>
  <c r="E73" i="6"/>
  <c r="I73" i="6"/>
  <c r="B95" i="6" s="1"/>
  <c r="K92" i="6"/>
  <c r="L92" i="6" s="1"/>
  <c r="N92" i="6" s="1"/>
  <c r="G70" i="6"/>
  <c r="I93" i="6"/>
  <c r="J94" i="6"/>
  <c r="E57" i="9"/>
  <c r="J76" i="9"/>
  <c r="F56" i="9"/>
  <c r="H56" i="9"/>
  <c r="B76" i="9"/>
  <c r="M97" i="9" s="1"/>
  <c r="G73" i="9"/>
  <c r="H73" i="9" s="1"/>
  <c r="G55" i="9"/>
  <c r="J55" i="9" s="1"/>
  <c r="I55" i="9"/>
  <c r="B57" i="9"/>
  <c r="D76" i="9"/>
  <c r="C56" i="9"/>
  <c r="D56" i="9" s="1"/>
  <c r="B58" i="8"/>
  <c r="C57" i="8"/>
  <c r="D57" i="8" s="1"/>
  <c r="N71" i="9"/>
  <c r="G93" i="9" s="1"/>
  <c r="F93" i="9"/>
  <c r="E74" i="9"/>
  <c r="G74" i="8"/>
  <c r="H74" i="8" s="1"/>
  <c r="D95" i="9"/>
  <c r="I95" i="9" s="1"/>
  <c r="L75" i="9"/>
  <c r="E97" i="9" s="1"/>
  <c r="I75" i="9"/>
  <c r="C97" i="9"/>
  <c r="C75" i="9"/>
  <c r="F75" i="9"/>
  <c r="K74" i="9"/>
  <c r="B96" i="9"/>
  <c r="J96" i="9" s="1"/>
  <c r="J93" i="20"/>
  <c r="K92" i="14"/>
  <c r="L92" i="14" s="1"/>
  <c r="N92" i="14" s="1"/>
  <c r="B75" i="14"/>
  <c r="M96" i="14" s="1"/>
  <c r="D75" i="14"/>
  <c r="C55" i="14"/>
  <c r="B56" i="14"/>
  <c r="E55" i="14"/>
  <c r="H55" i="14" s="1"/>
  <c r="I93" i="14"/>
  <c r="I73" i="14"/>
  <c r="B95" i="14" s="1"/>
  <c r="E73" i="14"/>
  <c r="J94" i="14"/>
  <c r="D54" i="14"/>
  <c r="G54" i="14" s="1"/>
  <c r="J54" i="14" s="1"/>
  <c r="F54" i="14"/>
  <c r="I54" i="14" s="1"/>
  <c r="F74" i="14"/>
  <c r="L74" i="14" s="1"/>
  <c r="E96" i="14" s="1"/>
  <c r="J74" i="14"/>
  <c r="C96" i="14" s="1"/>
  <c r="C74" i="14"/>
  <c r="K72" i="14"/>
  <c r="D94" i="14" s="1"/>
  <c r="K73" i="13"/>
  <c r="D95" i="13" s="1"/>
  <c r="F75" i="13"/>
  <c r="L75" i="13" s="1"/>
  <c r="E97" i="13" s="1"/>
  <c r="J75" i="13"/>
  <c r="C97" i="13" s="1"/>
  <c r="C75" i="13"/>
  <c r="D76" i="13"/>
  <c r="B57" i="13"/>
  <c r="C56" i="13"/>
  <c r="E56" i="13"/>
  <c r="H56" i="13" s="1"/>
  <c r="H94" i="13"/>
  <c r="K93" i="13"/>
  <c r="L93" i="13" s="1"/>
  <c r="N93" i="13" s="1"/>
  <c r="G71" i="13"/>
  <c r="F55" i="13"/>
  <c r="I55" i="13" s="1"/>
  <c r="D55" i="13"/>
  <c r="G55" i="13" s="1"/>
  <c r="J55" i="13" s="1"/>
  <c r="E74" i="13"/>
  <c r="I74" i="13"/>
  <c r="B96" i="13" s="1"/>
  <c r="I94" i="13"/>
  <c r="H92" i="19"/>
  <c r="K92" i="19" s="1"/>
  <c r="J73" i="20"/>
  <c r="C95" i="20" s="1"/>
  <c r="F73" i="20"/>
  <c r="L73" i="20" s="1"/>
  <c r="E95" i="20" s="1"/>
  <c r="C73" i="20"/>
  <c r="I72" i="20"/>
  <c r="B94" i="20" s="1"/>
  <c r="E72" i="20"/>
  <c r="I72" i="19"/>
  <c r="B94" i="19" s="1"/>
  <c r="E72" i="19"/>
  <c r="F53" i="20"/>
  <c r="I53" i="20" s="1"/>
  <c r="D53" i="20"/>
  <c r="G53" i="20" s="1"/>
  <c r="J53" i="20" s="1"/>
  <c r="H92" i="20"/>
  <c r="K71" i="19"/>
  <c r="D93" i="19" s="1"/>
  <c r="I92" i="19"/>
  <c r="F53" i="19"/>
  <c r="I53" i="19" s="1"/>
  <c r="D53" i="19"/>
  <c r="G53" i="19" s="1"/>
  <c r="J53" i="19" s="1"/>
  <c r="B74" i="20"/>
  <c r="M95" i="20" s="1"/>
  <c r="D74" i="20"/>
  <c r="C54" i="20"/>
  <c r="E54" i="20"/>
  <c r="H54" i="20" s="1"/>
  <c r="B55" i="20"/>
  <c r="K71" i="20"/>
  <c r="D93" i="20" s="1"/>
  <c r="C73" i="19"/>
  <c r="J73" i="19"/>
  <c r="C95" i="19" s="1"/>
  <c r="F73" i="19"/>
  <c r="L73" i="19" s="1"/>
  <c r="E95" i="19" s="1"/>
  <c r="I92" i="20"/>
  <c r="J93" i="19"/>
  <c r="B74" i="19"/>
  <c r="M95" i="19" s="1"/>
  <c r="D74" i="19"/>
  <c r="C54" i="19"/>
  <c r="B55" i="19"/>
  <c r="E54" i="19"/>
  <c r="H54" i="19" s="1"/>
  <c r="F98" i="35" l="1"/>
  <c r="N76" i="35"/>
  <c r="C103" i="35"/>
  <c r="I81" i="35"/>
  <c r="L81" i="35"/>
  <c r="E103" i="35" s="1"/>
  <c r="D101" i="35"/>
  <c r="I101" i="35" s="1"/>
  <c r="H101" i="35"/>
  <c r="B102" i="35"/>
  <c r="J102" i="35" s="1"/>
  <c r="K80" i="35"/>
  <c r="F62" i="35"/>
  <c r="H62" i="35"/>
  <c r="B82" i="35"/>
  <c r="M103" i="35" s="1"/>
  <c r="E63" i="35"/>
  <c r="J82" i="35"/>
  <c r="M78" i="35"/>
  <c r="B77" i="27"/>
  <c r="M98" i="27" s="1"/>
  <c r="G61" i="35"/>
  <c r="J61" i="35" s="1"/>
  <c r="I61" i="35"/>
  <c r="H70" i="14"/>
  <c r="N70" i="14" s="1"/>
  <c r="G92" i="14" s="1"/>
  <c r="G85" i="35"/>
  <c r="G84" i="35"/>
  <c r="H84" i="35" s="1"/>
  <c r="M78" i="34"/>
  <c r="F100" i="34" s="1"/>
  <c r="N77" i="34"/>
  <c r="G99" i="34" s="1"/>
  <c r="F99" i="34"/>
  <c r="H62" i="34"/>
  <c r="F62" i="34"/>
  <c r="E63" i="34"/>
  <c r="J82" i="34"/>
  <c r="B82" i="34"/>
  <c r="M103" i="34" s="1"/>
  <c r="B102" i="34"/>
  <c r="J102" i="34" s="1"/>
  <c r="K80" i="34"/>
  <c r="D102" i="34" s="1"/>
  <c r="I102" i="34" s="1"/>
  <c r="I61" i="34"/>
  <c r="G61" i="34"/>
  <c r="J61" i="34" s="1"/>
  <c r="D101" i="34"/>
  <c r="H101" i="34" s="1"/>
  <c r="K101" i="34" s="1"/>
  <c r="C103" i="34"/>
  <c r="L81" i="34"/>
  <c r="E103" i="34" s="1"/>
  <c r="I81" i="34"/>
  <c r="F85" i="34"/>
  <c r="C85" i="34"/>
  <c r="E85" i="34" s="1"/>
  <c r="G85" i="34" s="1"/>
  <c r="H85" i="34" s="1"/>
  <c r="F41" i="34"/>
  <c r="H57" i="27"/>
  <c r="E58" i="27"/>
  <c r="E59" i="27" s="1"/>
  <c r="B73" i="17"/>
  <c r="M94" i="17" s="1"/>
  <c r="I76" i="27"/>
  <c r="K76" i="27" s="1"/>
  <c r="L95" i="31"/>
  <c r="N95" i="31" s="1"/>
  <c r="L94" i="30"/>
  <c r="N94" i="30" s="1"/>
  <c r="B77" i="31"/>
  <c r="M98" i="31" s="1"/>
  <c r="K94" i="31"/>
  <c r="L94" i="31" s="1"/>
  <c r="N94" i="31" s="1"/>
  <c r="M72" i="31"/>
  <c r="F94" i="31" s="1"/>
  <c r="C98" i="27"/>
  <c r="K93" i="30"/>
  <c r="L93" i="30" s="1"/>
  <c r="N93" i="30" s="1"/>
  <c r="M71" i="30"/>
  <c r="J93" i="5"/>
  <c r="C76" i="8"/>
  <c r="E76" i="8" s="1"/>
  <c r="D77" i="8"/>
  <c r="F77" i="8" s="1"/>
  <c r="I92" i="17"/>
  <c r="G70" i="17" s="1"/>
  <c r="D95" i="30"/>
  <c r="H95" i="30" s="1"/>
  <c r="L75" i="30"/>
  <c r="E97" i="30" s="1"/>
  <c r="C97" i="30"/>
  <c r="I75" i="30"/>
  <c r="G55" i="30"/>
  <c r="J55" i="30" s="1"/>
  <c r="I55" i="30"/>
  <c r="B96" i="30"/>
  <c r="J96" i="30" s="1"/>
  <c r="K74" i="30"/>
  <c r="B76" i="30"/>
  <c r="M97" i="30" s="1"/>
  <c r="E57" i="30"/>
  <c r="F56" i="30"/>
  <c r="H56" i="30"/>
  <c r="J76" i="30"/>
  <c r="G71" i="14"/>
  <c r="H71" i="14" s="1"/>
  <c r="N71" i="14" s="1"/>
  <c r="G93" i="14" s="1"/>
  <c r="I93" i="5"/>
  <c r="G78" i="31"/>
  <c r="H78" i="31" s="1"/>
  <c r="I57" i="31"/>
  <c r="G57" i="31"/>
  <c r="J57" i="31" s="1"/>
  <c r="C99" i="31"/>
  <c r="L77" i="31"/>
  <c r="E99" i="31" s="1"/>
  <c r="I77" i="31"/>
  <c r="D97" i="31"/>
  <c r="I97" i="31" s="1"/>
  <c r="H96" i="31"/>
  <c r="K76" i="31"/>
  <c r="B98" i="31"/>
  <c r="J98" i="31" s="1"/>
  <c r="E79" i="31"/>
  <c r="F80" i="31"/>
  <c r="C80" i="31"/>
  <c r="F95" i="31"/>
  <c r="E59" i="31"/>
  <c r="F58" i="31"/>
  <c r="J78" i="31"/>
  <c r="H58" i="31"/>
  <c r="A60" i="31"/>
  <c r="A80" i="31"/>
  <c r="A102" i="31" s="1"/>
  <c r="D81" i="31"/>
  <c r="B62" i="31"/>
  <c r="C61" i="31"/>
  <c r="D61" i="31" s="1"/>
  <c r="G77" i="30"/>
  <c r="H77" i="30" s="1"/>
  <c r="D80" i="30"/>
  <c r="C60" i="30"/>
  <c r="D60" i="30" s="1"/>
  <c r="B61" i="30"/>
  <c r="A60" i="30"/>
  <c r="A80" i="30"/>
  <c r="A102" i="30" s="1"/>
  <c r="F79" i="30"/>
  <c r="C79" i="30"/>
  <c r="E78" i="30"/>
  <c r="H77" i="27"/>
  <c r="H77" i="28"/>
  <c r="H96" i="27"/>
  <c r="M74" i="27" s="1"/>
  <c r="F96" i="27" s="1"/>
  <c r="E79" i="28"/>
  <c r="D81" i="28"/>
  <c r="B62" i="28"/>
  <c r="C61" i="28"/>
  <c r="D61" i="28" s="1"/>
  <c r="G78" i="28"/>
  <c r="A60" i="28"/>
  <c r="A80" i="28"/>
  <c r="A102" i="28" s="1"/>
  <c r="F80" i="28"/>
  <c r="C80" i="28"/>
  <c r="L95" i="27"/>
  <c r="N95" i="27" s="1"/>
  <c r="J78" i="27"/>
  <c r="A60" i="27"/>
  <c r="A80" i="27"/>
  <c r="A102" i="27" s="1"/>
  <c r="G78" i="27"/>
  <c r="H78" i="27" s="1"/>
  <c r="E79" i="27"/>
  <c r="I57" i="27"/>
  <c r="G57" i="27"/>
  <c r="J57" i="27" s="1"/>
  <c r="C99" i="27"/>
  <c r="L77" i="27"/>
  <c r="E99" i="27" s="1"/>
  <c r="I77" i="27"/>
  <c r="D81" i="27"/>
  <c r="B62" i="27"/>
  <c r="C61" i="27"/>
  <c r="D61" i="27" s="1"/>
  <c r="D97" i="27"/>
  <c r="H97" i="27" s="1"/>
  <c r="B98" i="27"/>
  <c r="J98" i="27" s="1"/>
  <c r="F80" i="27"/>
  <c r="C80" i="27"/>
  <c r="N72" i="27"/>
  <c r="F94" i="27"/>
  <c r="E55" i="25"/>
  <c r="H54" i="25"/>
  <c r="B74" i="25"/>
  <c r="M95" i="25" s="1"/>
  <c r="J74" i="25"/>
  <c r="F54" i="25"/>
  <c r="I73" i="25"/>
  <c r="L73" i="25"/>
  <c r="E95" i="25" s="1"/>
  <c r="C95" i="25"/>
  <c r="D93" i="25"/>
  <c r="H93" i="25" s="1"/>
  <c r="G53" i="25"/>
  <c r="J53" i="25" s="1"/>
  <c r="I53" i="25"/>
  <c r="B94" i="25"/>
  <c r="J94" i="25" s="1"/>
  <c r="K72" i="25"/>
  <c r="D94" i="25" s="1"/>
  <c r="I94" i="25" s="1"/>
  <c r="E78" i="25"/>
  <c r="G77" i="25"/>
  <c r="H77" i="25" s="1"/>
  <c r="C60" i="25"/>
  <c r="D60" i="25" s="1"/>
  <c r="D80" i="25"/>
  <c r="B61" i="25"/>
  <c r="A80" i="25"/>
  <c r="A102" i="25" s="1"/>
  <c r="A60" i="25"/>
  <c r="C79" i="25"/>
  <c r="F79" i="25"/>
  <c r="I53" i="24"/>
  <c r="G53" i="24"/>
  <c r="J53" i="24" s="1"/>
  <c r="I73" i="24"/>
  <c r="L73" i="24"/>
  <c r="E95" i="24" s="1"/>
  <c r="C95" i="24"/>
  <c r="I93" i="24"/>
  <c r="M71" i="24" s="1"/>
  <c r="N71" i="24" s="1"/>
  <c r="G93" i="24" s="1"/>
  <c r="B94" i="24"/>
  <c r="J94" i="24" s="1"/>
  <c r="K72" i="24"/>
  <c r="D94" i="24" s="1"/>
  <c r="I94" i="24" s="1"/>
  <c r="F54" i="24"/>
  <c r="E55" i="24"/>
  <c r="H54" i="24"/>
  <c r="B74" i="24"/>
  <c r="M95" i="24" s="1"/>
  <c r="J74" i="24"/>
  <c r="F93" i="24"/>
  <c r="E78" i="24"/>
  <c r="G77" i="24"/>
  <c r="H77" i="24" s="1"/>
  <c r="C60" i="24"/>
  <c r="D60" i="24" s="1"/>
  <c r="D80" i="24"/>
  <c r="B61" i="24"/>
  <c r="A80" i="24"/>
  <c r="A102" i="24" s="1"/>
  <c r="A60" i="24"/>
  <c r="C79" i="24"/>
  <c r="F79" i="24"/>
  <c r="J92" i="16"/>
  <c r="I93" i="17"/>
  <c r="H93" i="17"/>
  <c r="K93" i="17" s="1"/>
  <c r="K92" i="17"/>
  <c r="D53" i="17"/>
  <c r="G53" i="17" s="1"/>
  <c r="J53" i="17" s="1"/>
  <c r="F53" i="17"/>
  <c r="I53" i="17" s="1"/>
  <c r="C72" i="16"/>
  <c r="F72" i="16"/>
  <c r="L72" i="16" s="1"/>
  <c r="E94" i="16" s="1"/>
  <c r="J72" i="16"/>
  <c r="C94" i="16" s="1"/>
  <c r="E72" i="17"/>
  <c r="K72" i="17" s="1"/>
  <c r="D94" i="17" s="1"/>
  <c r="I72" i="17"/>
  <c r="I71" i="16"/>
  <c r="B93" i="16" s="1"/>
  <c r="E71" i="16"/>
  <c r="F73" i="17"/>
  <c r="L73" i="17" s="1"/>
  <c r="E95" i="17" s="1"/>
  <c r="J73" i="17"/>
  <c r="C95" i="17" s="1"/>
  <c r="C73" i="17"/>
  <c r="E54" i="17"/>
  <c r="H54" i="17" s="1"/>
  <c r="B55" i="17"/>
  <c r="C54" i="17"/>
  <c r="D74" i="17"/>
  <c r="D52" i="16"/>
  <c r="G52" i="16" s="1"/>
  <c r="J52" i="16" s="1"/>
  <c r="F52" i="16"/>
  <c r="I52" i="16" s="1"/>
  <c r="K70" i="16"/>
  <c r="D92" i="16" s="1"/>
  <c r="B93" i="17"/>
  <c r="J93" i="17" s="1"/>
  <c r="E53" i="16"/>
  <c r="H53" i="16" s="1"/>
  <c r="B73" i="16"/>
  <c r="M94" i="16" s="1"/>
  <c r="C53" i="16"/>
  <c r="D73" i="16"/>
  <c r="B54" i="16"/>
  <c r="L93" i="14"/>
  <c r="N93" i="14" s="1"/>
  <c r="B76" i="13"/>
  <c r="M97" i="13" s="1"/>
  <c r="G70" i="19"/>
  <c r="M70" i="19" s="1"/>
  <c r="F92" i="19" s="1"/>
  <c r="H93" i="5"/>
  <c r="K93" i="5" s="1"/>
  <c r="C54" i="5"/>
  <c r="B74" i="5"/>
  <c r="M95" i="5" s="1"/>
  <c r="E54" i="5"/>
  <c r="H54" i="5" s="1"/>
  <c r="B55" i="5"/>
  <c r="D74" i="5"/>
  <c r="E72" i="5"/>
  <c r="K72" i="5" s="1"/>
  <c r="D94" i="5" s="1"/>
  <c r="I72" i="5"/>
  <c r="F53" i="5"/>
  <c r="I53" i="5" s="1"/>
  <c r="D53" i="5"/>
  <c r="G53" i="5" s="1"/>
  <c r="J53" i="5" s="1"/>
  <c r="C73" i="5"/>
  <c r="J73" i="5"/>
  <c r="C95" i="5" s="1"/>
  <c r="F73" i="5"/>
  <c r="L73" i="5" s="1"/>
  <c r="E95" i="5" s="1"/>
  <c r="L94" i="9"/>
  <c r="N94" i="9" s="1"/>
  <c r="H94" i="6"/>
  <c r="K94" i="6" s="1"/>
  <c r="K93" i="6"/>
  <c r="L93" i="6" s="1"/>
  <c r="N93" i="6" s="1"/>
  <c r="G71" i="6"/>
  <c r="M70" i="6"/>
  <c r="F92" i="6" s="1"/>
  <c r="H70" i="6"/>
  <c r="N70" i="6" s="1"/>
  <c r="G92" i="6" s="1"/>
  <c r="J95" i="6"/>
  <c r="H70" i="5"/>
  <c r="N70" i="5" s="1"/>
  <c r="G92" i="5" s="1"/>
  <c r="M70" i="5"/>
  <c r="F92" i="5" s="1"/>
  <c r="I94" i="6"/>
  <c r="B76" i="6"/>
  <c r="M97" i="6" s="1"/>
  <c r="D76" i="6"/>
  <c r="B57" i="6"/>
  <c r="C56" i="6"/>
  <c r="E56" i="6"/>
  <c r="H56" i="6" s="1"/>
  <c r="K73" i="6"/>
  <c r="D95" i="6" s="1"/>
  <c r="E74" i="6"/>
  <c r="I74" i="6"/>
  <c r="B96" i="6" s="1"/>
  <c r="D55" i="6"/>
  <c r="G55" i="6" s="1"/>
  <c r="J55" i="6" s="1"/>
  <c r="F55" i="6"/>
  <c r="I55" i="6" s="1"/>
  <c r="J75" i="6"/>
  <c r="C97" i="6" s="1"/>
  <c r="C75" i="6"/>
  <c r="F75" i="6"/>
  <c r="L75" i="6" s="1"/>
  <c r="E97" i="6" s="1"/>
  <c r="E75" i="9"/>
  <c r="H95" i="9"/>
  <c r="K95" i="9" s="1"/>
  <c r="I56" i="9"/>
  <c r="G56" i="9"/>
  <c r="J56" i="9" s="1"/>
  <c r="D96" i="9"/>
  <c r="H96" i="9" s="1"/>
  <c r="K96" i="9" s="1"/>
  <c r="G74" i="9"/>
  <c r="H74" i="9" s="1"/>
  <c r="C58" i="8"/>
  <c r="D58" i="8" s="1"/>
  <c r="B59" i="8"/>
  <c r="C76" i="9"/>
  <c r="F76" i="9"/>
  <c r="G75" i="8"/>
  <c r="H75" i="8" s="1"/>
  <c r="L76" i="9"/>
  <c r="E98" i="9" s="1"/>
  <c r="C98" i="9"/>
  <c r="I76" i="9"/>
  <c r="K75" i="9"/>
  <c r="B97" i="9"/>
  <c r="J97" i="9" s="1"/>
  <c r="B58" i="9"/>
  <c r="C57" i="9"/>
  <c r="D57" i="9" s="1"/>
  <c r="D77" i="9"/>
  <c r="B77" i="9"/>
  <c r="M98" i="9" s="1"/>
  <c r="F57" i="9"/>
  <c r="E58" i="9"/>
  <c r="H57" i="9"/>
  <c r="J77" i="9"/>
  <c r="N72" i="9"/>
  <c r="G94" i="9" s="1"/>
  <c r="H94" i="14"/>
  <c r="J96" i="13"/>
  <c r="I94" i="14"/>
  <c r="E74" i="14"/>
  <c r="I74" i="14"/>
  <c r="B96" i="14" s="1"/>
  <c r="J95" i="14"/>
  <c r="D55" i="14"/>
  <c r="G55" i="14" s="1"/>
  <c r="J55" i="14" s="1"/>
  <c r="F55" i="14"/>
  <c r="I55" i="14" s="1"/>
  <c r="C75" i="14"/>
  <c r="J75" i="14"/>
  <c r="C97" i="14" s="1"/>
  <c r="F75" i="14"/>
  <c r="L75" i="14" s="1"/>
  <c r="E97" i="14" s="1"/>
  <c r="K73" i="14"/>
  <c r="D95" i="14" s="1"/>
  <c r="B57" i="14"/>
  <c r="D76" i="14"/>
  <c r="B76" i="14"/>
  <c r="M97" i="14" s="1"/>
  <c r="C56" i="14"/>
  <c r="E56" i="14"/>
  <c r="H56" i="14" s="1"/>
  <c r="K74" i="13"/>
  <c r="D96" i="13" s="1"/>
  <c r="F56" i="13"/>
  <c r="I56" i="13" s="1"/>
  <c r="D56" i="13"/>
  <c r="G56" i="13" s="1"/>
  <c r="J56" i="13" s="1"/>
  <c r="D77" i="13"/>
  <c r="B58" i="13"/>
  <c r="E57" i="13"/>
  <c r="H57" i="13" s="1"/>
  <c r="C57" i="13"/>
  <c r="I95" i="13"/>
  <c r="C76" i="13"/>
  <c r="J76" i="13"/>
  <c r="C98" i="13" s="1"/>
  <c r="F76" i="13"/>
  <c r="L76" i="13" s="1"/>
  <c r="E98" i="13" s="1"/>
  <c r="M71" i="13"/>
  <c r="F93" i="13" s="1"/>
  <c r="H71" i="13"/>
  <c r="N71" i="13" s="1"/>
  <c r="G93" i="13" s="1"/>
  <c r="E75" i="13"/>
  <c r="I75" i="13"/>
  <c r="B97" i="13" s="1"/>
  <c r="K94" i="13"/>
  <c r="L94" i="13" s="1"/>
  <c r="N94" i="13" s="1"/>
  <c r="G72" i="13"/>
  <c r="H95" i="13"/>
  <c r="H93" i="19"/>
  <c r="K93" i="19" s="1"/>
  <c r="J94" i="19"/>
  <c r="I93" i="19"/>
  <c r="C74" i="19"/>
  <c r="F74" i="19"/>
  <c r="L74" i="19" s="1"/>
  <c r="E96" i="19" s="1"/>
  <c r="J74" i="19"/>
  <c r="C96" i="19" s="1"/>
  <c r="F54" i="20"/>
  <c r="I54" i="20" s="1"/>
  <c r="D54" i="20"/>
  <c r="G54" i="20" s="1"/>
  <c r="J54" i="20" s="1"/>
  <c r="K72" i="19"/>
  <c r="D94" i="19" s="1"/>
  <c r="B75" i="19"/>
  <c r="M96" i="19" s="1"/>
  <c r="D75" i="19"/>
  <c r="C55" i="19"/>
  <c r="B56" i="19"/>
  <c r="E55" i="19"/>
  <c r="H55" i="19" s="1"/>
  <c r="I73" i="19"/>
  <c r="B95" i="19" s="1"/>
  <c r="E73" i="19"/>
  <c r="H93" i="20"/>
  <c r="C74" i="20"/>
  <c r="F74" i="20"/>
  <c r="L74" i="20" s="1"/>
  <c r="E96" i="20" s="1"/>
  <c r="J74" i="20"/>
  <c r="C96" i="20" s="1"/>
  <c r="E73" i="20"/>
  <c r="I73" i="20"/>
  <c r="B95" i="20" s="1"/>
  <c r="L92" i="19"/>
  <c r="N92" i="19" s="1"/>
  <c r="F54" i="19"/>
  <c r="I54" i="19" s="1"/>
  <c r="D54" i="19"/>
  <c r="G54" i="19" s="1"/>
  <c r="J54" i="19" s="1"/>
  <c r="D75" i="20"/>
  <c r="B75" i="20"/>
  <c r="M96" i="20" s="1"/>
  <c r="C55" i="20"/>
  <c r="E55" i="20"/>
  <c r="H55" i="20" s="1"/>
  <c r="B56" i="20"/>
  <c r="K92" i="20"/>
  <c r="L92" i="20" s="1"/>
  <c r="N92" i="20" s="1"/>
  <c r="G70" i="20"/>
  <c r="J94" i="20"/>
  <c r="K72" i="20"/>
  <c r="D94" i="20" s="1"/>
  <c r="I93" i="20"/>
  <c r="K81" i="35" l="1"/>
  <c r="B103" i="35"/>
  <c r="J103" i="35" s="1"/>
  <c r="F58" i="27"/>
  <c r="N78" i="35"/>
  <c r="G100" i="35" s="1"/>
  <c r="F100" i="35"/>
  <c r="K101" i="35"/>
  <c r="L101" i="35" s="1"/>
  <c r="N101" i="35" s="1"/>
  <c r="M79" i="35"/>
  <c r="C104" i="35"/>
  <c r="L82" i="35"/>
  <c r="E104" i="35" s="1"/>
  <c r="I82" i="35"/>
  <c r="I62" i="35"/>
  <c r="G62" i="35"/>
  <c r="J62" i="35" s="1"/>
  <c r="G98" i="35"/>
  <c r="N77" i="35"/>
  <c r="G99" i="35" s="1"/>
  <c r="L93" i="5"/>
  <c r="N93" i="5" s="1"/>
  <c r="B78" i="27"/>
  <c r="M99" i="27" s="1"/>
  <c r="H63" i="35"/>
  <c r="E64" i="35"/>
  <c r="J83" i="35"/>
  <c r="F63" i="35"/>
  <c r="B83" i="35"/>
  <c r="M104" i="35" s="1"/>
  <c r="D102" i="35"/>
  <c r="I102" i="35" s="1"/>
  <c r="H102" i="35"/>
  <c r="H85" i="35"/>
  <c r="F63" i="34"/>
  <c r="J83" i="34"/>
  <c r="H63" i="34"/>
  <c r="B83" i="34"/>
  <c r="M104" i="34" s="1"/>
  <c r="E64" i="34"/>
  <c r="N78" i="34"/>
  <c r="G100" i="34" s="1"/>
  <c r="H102" i="34"/>
  <c r="K102" i="34" s="1"/>
  <c r="L102" i="34" s="1"/>
  <c r="N102" i="34" s="1"/>
  <c r="B103" i="34"/>
  <c r="J103" i="34" s="1"/>
  <c r="K81" i="34"/>
  <c r="D103" i="34" s="1"/>
  <c r="I103" i="34" s="1"/>
  <c r="I101" i="34"/>
  <c r="M79" i="34" s="1"/>
  <c r="F101" i="34" s="1"/>
  <c r="G62" i="34"/>
  <c r="J62" i="34" s="1"/>
  <c r="I62" i="34"/>
  <c r="I82" i="34"/>
  <c r="L82" i="34"/>
  <c r="E104" i="34" s="1"/>
  <c r="C104" i="34"/>
  <c r="B74" i="17"/>
  <c r="M95" i="17" s="1"/>
  <c r="M71" i="14"/>
  <c r="F93" i="14" s="1"/>
  <c r="L92" i="17"/>
  <c r="N92" i="17" s="1"/>
  <c r="H58" i="27"/>
  <c r="N72" i="31"/>
  <c r="G94" i="31" s="1"/>
  <c r="B78" i="31"/>
  <c r="M99" i="31" s="1"/>
  <c r="F93" i="30"/>
  <c r="N71" i="30"/>
  <c r="H94" i="5"/>
  <c r="K94" i="5" s="1"/>
  <c r="C77" i="8"/>
  <c r="E77" i="8" s="1"/>
  <c r="D78" i="8"/>
  <c r="C78" i="8" s="1"/>
  <c r="H70" i="17"/>
  <c r="N70" i="17" s="1"/>
  <c r="G92" i="17" s="1"/>
  <c r="M70" i="17"/>
  <c r="F92" i="17" s="1"/>
  <c r="I56" i="30"/>
  <c r="G56" i="30"/>
  <c r="J56" i="30" s="1"/>
  <c r="B97" i="30"/>
  <c r="J97" i="30" s="1"/>
  <c r="K75" i="30"/>
  <c r="D97" i="30" s="1"/>
  <c r="H97" i="30" s="1"/>
  <c r="K97" i="30" s="1"/>
  <c r="K95" i="30"/>
  <c r="E58" i="30"/>
  <c r="H57" i="30"/>
  <c r="J77" i="30"/>
  <c r="F57" i="30"/>
  <c r="B77" i="30"/>
  <c r="M98" i="30" s="1"/>
  <c r="C98" i="30"/>
  <c r="I76" i="30"/>
  <c r="L76" i="30"/>
  <c r="E98" i="30" s="1"/>
  <c r="D96" i="30"/>
  <c r="H96" i="30" s="1"/>
  <c r="I95" i="30"/>
  <c r="M73" i="30" s="1"/>
  <c r="H78" i="28"/>
  <c r="H70" i="19"/>
  <c r="N70" i="19" s="1"/>
  <c r="G92" i="19" s="1"/>
  <c r="D82" i="31"/>
  <c r="B63" i="31"/>
  <c r="C62" i="31"/>
  <c r="D62" i="31" s="1"/>
  <c r="A61" i="31"/>
  <c r="A81" i="31"/>
  <c r="A103" i="31" s="1"/>
  <c r="I58" i="31"/>
  <c r="G58" i="31"/>
  <c r="J58" i="31" s="1"/>
  <c r="E80" i="31"/>
  <c r="K96" i="31"/>
  <c r="L96" i="31" s="1"/>
  <c r="N96" i="31" s="1"/>
  <c r="M74" i="31"/>
  <c r="F81" i="31"/>
  <c r="C81" i="31"/>
  <c r="J79" i="31"/>
  <c r="E60" i="31"/>
  <c r="F59" i="31"/>
  <c r="H59" i="31"/>
  <c r="H97" i="31"/>
  <c r="B99" i="31"/>
  <c r="J99" i="31" s="1"/>
  <c r="K77" i="31"/>
  <c r="G79" i="31"/>
  <c r="H79" i="31" s="1"/>
  <c r="L78" i="31"/>
  <c r="E100" i="31" s="1"/>
  <c r="I78" i="31"/>
  <c r="C100" i="31"/>
  <c r="D98" i="31"/>
  <c r="H98" i="31" s="1"/>
  <c r="E79" i="30"/>
  <c r="A81" i="30"/>
  <c r="A103" i="30" s="1"/>
  <c r="A61" i="30"/>
  <c r="F80" i="30"/>
  <c r="C80" i="30"/>
  <c r="G78" i="30"/>
  <c r="H78" i="30" s="1"/>
  <c r="D81" i="30"/>
  <c r="C61" i="30"/>
  <c r="D61" i="30" s="1"/>
  <c r="B62" i="30"/>
  <c r="K96" i="27"/>
  <c r="L96" i="27" s="1"/>
  <c r="N96" i="27" s="1"/>
  <c r="G79" i="28"/>
  <c r="E80" i="28"/>
  <c r="D82" i="28"/>
  <c r="B63" i="28"/>
  <c r="C62" i="28"/>
  <c r="D62" i="28" s="1"/>
  <c r="A61" i="28"/>
  <c r="A81" i="28"/>
  <c r="A103" i="28" s="1"/>
  <c r="F81" i="28"/>
  <c r="C81" i="28"/>
  <c r="I97" i="27"/>
  <c r="M75" i="27" s="1"/>
  <c r="F97" i="27" s="1"/>
  <c r="G79" i="27"/>
  <c r="H79" i="27" s="1"/>
  <c r="L78" i="27"/>
  <c r="E100" i="27" s="1"/>
  <c r="I78" i="27"/>
  <c r="C100" i="27"/>
  <c r="K97" i="27"/>
  <c r="D82" i="27"/>
  <c r="B63" i="27"/>
  <c r="C62" i="27"/>
  <c r="D62" i="27" s="1"/>
  <c r="A61" i="27"/>
  <c r="A81" i="27"/>
  <c r="A103" i="27" s="1"/>
  <c r="I58" i="27"/>
  <c r="G58" i="27"/>
  <c r="J58" i="27" s="1"/>
  <c r="G94" i="27"/>
  <c r="N73" i="27"/>
  <c r="F81" i="27"/>
  <c r="C81" i="27"/>
  <c r="J79" i="27"/>
  <c r="E60" i="27"/>
  <c r="F59" i="27"/>
  <c r="H59" i="27"/>
  <c r="E80" i="27"/>
  <c r="D98" i="27"/>
  <c r="H98" i="27" s="1"/>
  <c r="B99" i="27"/>
  <c r="J99" i="27" s="1"/>
  <c r="K77" i="27"/>
  <c r="I93" i="25"/>
  <c r="M71" i="25" s="1"/>
  <c r="H94" i="25"/>
  <c r="K94" i="25" s="1"/>
  <c r="L94" i="25" s="1"/>
  <c r="N94" i="25" s="1"/>
  <c r="I74" i="25"/>
  <c r="C96" i="25"/>
  <c r="L74" i="25"/>
  <c r="E96" i="25" s="1"/>
  <c r="M72" i="25"/>
  <c r="F94" i="25" s="1"/>
  <c r="K73" i="25"/>
  <c r="B95" i="25"/>
  <c r="J95" i="25" s="1"/>
  <c r="K93" i="25"/>
  <c r="I54" i="25"/>
  <c r="G54" i="25"/>
  <c r="J54" i="25" s="1"/>
  <c r="F55" i="25"/>
  <c r="B75" i="25"/>
  <c r="M96" i="25" s="1"/>
  <c r="H55" i="25"/>
  <c r="J75" i="25"/>
  <c r="E56" i="25"/>
  <c r="A81" i="25"/>
  <c r="A103" i="25" s="1"/>
  <c r="A61" i="25"/>
  <c r="D81" i="25"/>
  <c r="C61" i="25"/>
  <c r="D61" i="25" s="1"/>
  <c r="B62" i="25"/>
  <c r="E79" i="25"/>
  <c r="F80" i="25"/>
  <c r="C80" i="25"/>
  <c r="G78" i="25"/>
  <c r="H78" i="25" s="1"/>
  <c r="H94" i="24"/>
  <c r="K94" i="24" s="1"/>
  <c r="L94" i="24" s="1"/>
  <c r="N94" i="24" s="1"/>
  <c r="H55" i="24"/>
  <c r="B75" i="24"/>
  <c r="M96" i="24" s="1"/>
  <c r="E56" i="24"/>
  <c r="F55" i="24"/>
  <c r="J75" i="24"/>
  <c r="C96" i="24"/>
  <c r="I74" i="24"/>
  <c r="L74" i="24"/>
  <c r="E96" i="24" s="1"/>
  <c r="G54" i="24"/>
  <c r="J54" i="24" s="1"/>
  <c r="I54" i="24"/>
  <c r="L93" i="24"/>
  <c r="N93" i="24" s="1"/>
  <c r="K73" i="24"/>
  <c r="B95" i="24"/>
  <c r="J95" i="24" s="1"/>
  <c r="A81" i="24"/>
  <c r="A103" i="24" s="1"/>
  <c r="A61" i="24"/>
  <c r="D81" i="24"/>
  <c r="C61" i="24"/>
  <c r="D61" i="24" s="1"/>
  <c r="B62" i="24"/>
  <c r="E79" i="24"/>
  <c r="F80" i="24"/>
  <c r="C80" i="24"/>
  <c r="G78" i="24"/>
  <c r="H78" i="24" s="1"/>
  <c r="G71" i="17"/>
  <c r="M71" i="17" s="1"/>
  <c r="F93" i="17" s="1"/>
  <c r="J93" i="16"/>
  <c r="L93" i="17"/>
  <c r="N93" i="17" s="1"/>
  <c r="I92" i="16"/>
  <c r="I94" i="17"/>
  <c r="C73" i="16"/>
  <c r="F73" i="16"/>
  <c r="L73" i="16" s="1"/>
  <c r="E95" i="16" s="1"/>
  <c r="J73" i="16"/>
  <c r="C95" i="16" s="1"/>
  <c r="D54" i="17"/>
  <c r="G54" i="17" s="1"/>
  <c r="J54" i="17" s="1"/>
  <c r="F54" i="17"/>
  <c r="I54" i="17" s="1"/>
  <c r="F53" i="16"/>
  <c r="I53" i="16" s="1"/>
  <c r="D53" i="16"/>
  <c r="G53" i="16" s="1"/>
  <c r="J53" i="16" s="1"/>
  <c r="B75" i="17"/>
  <c r="M96" i="17" s="1"/>
  <c r="B56" i="17"/>
  <c r="D75" i="17"/>
  <c r="E55" i="17"/>
  <c r="H55" i="17" s="1"/>
  <c r="C55" i="17"/>
  <c r="B94" i="17"/>
  <c r="J94" i="17" s="1"/>
  <c r="I72" i="16"/>
  <c r="B94" i="16" s="1"/>
  <c r="E72" i="16"/>
  <c r="H94" i="17"/>
  <c r="K94" i="17" s="1"/>
  <c r="B55" i="16"/>
  <c r="C54" i="16"/>
  <c r="D74" i="16"/>
  <c r="B74" i="16"/>
  <c r="M95" i="16" s="1"/>
  <c r="E54" i="16"/>
  <c r="H54" i="16" s="1"/>
  <c r="H92" i="16"/>
  <c r="F74" i="17"/>
  <c r="L74" i="17" s="1"/>
  <c r="E96" i="17" s="1"/>
  <c r="C74" i="17"/>
  <c r="J74" i="17"/>
  <c r="C96" i="17" s="1"/>
  <c r="I73" i="17"/>
  <c r="E73" i="17"/>
  <c r="K71" i="16"/>
  <c r="D93" i="16" s="1"/>
  <c r="B77" i="13"/>
  <c r="G71" i="5"/>
  <c r="M71" i="5" s="1"/>
  <c r="F93" i="5" s="1"/>
  <c r="B75" i="5"/>
  <c r="M96" i="5" s="1"/>
  <c r="B56" i="5"/>
  <c r="E55" i="5"/>
  <c r="H55" i="5" s="1"/>
  <c r="C55" i="5"/>
  <c r="D75" i="5"/>
  <c r="I94" i="5"/>
  <c r="B94" i="5"/>
  <c r="J94" i="5" s="1"/>
  <c r="I73" i="5"/>
  <c r="B95" i="5" s="1"/>
  <c r="E73" i="5"/>
  <c r="K73" i="5" s="1"/>
  <c r="D95" i="5" s="1"/>
  <c r="J74" i="5"/>
  <c r="C96" i="5" s="1"/>
  <c r="F74" i="5"/>
  <c r="L74" i="5" s="1"/>
  <c r="E96" i="5" s="1"/>
  <c r="C74" i="5"/>
  <c r="F54" i="5"/>
  <c r="I54" i="5" s="1"/>
  <c r="D54" i="5"/>
  <c r="G54" i="5" s="1"/>
  <c r="J54" i="5" s="1"/>
  <c r="G72" i="6"/>
  <c r="M72" i="6" s="1"/>
  <c r="F94" i="6" s="1"/>
  <c r="I96" i="9"/>
  <c r="M74" i="9" s="1"/>
  <c r="J96" i="6"/>
  <c r="E75" i="6"/>
  <c r="I75" i="6"/>
  <c r="B97" i="6" s="1"/>
  <c r="K74" i="6"/>
  <c r="D96" i="6" s="1"/>
  <c r="I95" i="6"/>
  <c r="F56" i="6"/>
  <c r="I56" i="6" s="1"/>
  <c r="D56" i="6"/>
  <c r="G56" i="6" s="1"/>
  <c r="J56" i="6" s="1"/>
  <c r="H95" i="6"/>
  <c r="D77" i="6"/>
  <c r="B77" i="6"/>
  <c r="M98" i="6" s="1"/>
  <c r="B58" i="6"/>
  <c r="E57" i="6"/>
  <c r="H57" i="6" s="1"/>
  <c r="C57" i="6"/>
  <c r="H71" i="6"/>
  <c r="N71" i="6" s="1"/>
  <c r="G93" i="6" s="1"/>
  <c r="M71" i="6"/>
  <c r="F93" i="6" s="1"/>
  <c r="F76" i="6"/>
  <c r="L76" i="6" s="1"/>
  <c r="E98" i="6" s="1"/>
  <c r="C76" i="6"/>
  <c r="J76" i="6"/>
  <c r="C98" i="6" s="1"/>
  <c r="L94" i="6"/>
  <c r="N94" i="6" s="1"/>
  <c r="E76" i="9"/>
  <c r="I77" i="9"/>
  <c r="C99" i="9"/>
  <c r="L77" i="9"/>
  <c r="E99" i="9" s="1"/>
  <c r="D78" i="9"/>
  <c r="B59" i="9"/>
  <c r="C58" i="9"/>
  <c r="D58" i="9" s="1"/>
  <c r="G76" i="8"/>
  <c r="H76" i="8" s="1"/>
  <c r="B60" i="8"/>
  <c r="C59" i="8"/>
  <c r="D59" i="8" s="1"/>
  <c r="E59" i="9"/>
  <c r="B78" i="9"/>
  <c r="M99" i="9" s="1"/>
  <c r="J78" i="9"/>
  <c r="F58" i="9"/>
  <c r="H58" i="9"/>
  <c r="C77" i="9"/>
  <c r="F77" i="9"/>
  <c r="D97" i="9"/>
  <c r="I97" i="9" s="1"/>
  <c r="B98" i="9"/>
  <c r="J98" i="9" s="1"/>
  <c r="K76" i="9"/>
  <c r="L96" i="9"/>
  <c r="N96" i="9" s="1"/>
  <c r="H97" i="9"/>
  <c r="K97" i="9" s="1"/>
  <c r="G75" i="9"/>
  <c r="H75" i="9" s="1"/>
  <c r="I57" i="9"/>
  <c r="G57" i="9"/>
  <c r="J57" i="9" s="1"/>
  <c r="L95" i="9"/>
  <c r="N95" i="9" s="1"/>
  <c r="M73" i="9"/>
  <c r="L93" i="19"/>
  <c r="N93" i="19" s="1"/>
  <c r="J97" i="13"/>
  <c r="H95" i="14"/>
  <c r="K95" i="14" s="1"/>
  <c r="I95" i="14"/>
  <c r="C76" i="14"/>
  <c r="F76" i="14"/>
  <c r="L76" i="14" s="1"/>
  <c r="E98" i="14" s="1"/>
  <c r="J76" i="14"/>
  <c r="C98" i="14" s="1"/>
  <c r="I75" i="14"/>
  <c r="B97" i="14" s="1"/>
  <c r="E75" i="14"/>
  <c r="I96" i="13"/>
  <c r="D56" i="14"/>
  <c r="G56" i="14" s="1"/>
  <c r="J56" i="14" s="1"/>
  <c r="F56" i="14"/>
  <c r="I56" i="14" s="1"/>
  <c r="K74" i="14"/>
  <c r="D96" i="14" s="1"/>
  <c r="K94" i="14"/>
  <c r="L94" i="14" s="1"/>
  <c r="N94" i="14" s="1"/>
  <c r="G72" i="14"/>
  <c r="B77" i="14"/>
  <c r="M98" i="14" s="1"/>
  <c r="B58" i="14"/>
  <c r="D77" i="14"/>
  <c r="E57" i="14"/>
  <c r="H57" i="14" s="1"/>
  <c r="C57" i="14"/>
  <c r="H96" i="13"/>
  <c r="K96" i="13" s="1"/>
  <c r="J96" i="14"/>
  <c r="I76" i="13"/>
  <c r="B98" i="13" s="1"/>
  <c r="E76" i="13"/>
  <c r="D78" i="13"/>
  <c r="B59" i="13"/>
  <c r="E58" i="13"/>
  <c r="H58" i="13" s="1"/>
  <c r="C58" i="13"/>
  <c r="K95" i="13"/>
  <c r="L95" i="13" s="1"/>
  <c r="N95" i="13" s="1"/>
  <c r="G73" i="13"/>
  <c r="C77" i="13"/>
  <c r="J77" i="13"/>
  <c r="C99" i="13" s="1"/>
  <c r="F77" i="13"/>
  <c r="L77" i="13" s="1"/>
  <c r="E99" i="13" s="1"/>
  <c r="H72" i="13"/>
  <c r="N72" i="13" s="1"/>
  <c r="G94" i="13" s="1"/>
  <c r="M72" i="13"/>
  <c r="F94" i="13" s="1"/>
  <c r="K75" i="13"/>
  <c r="D97" i="13" s="1"/>
  <c r="F57" i="13"/>
  <c r="I57" i="13" s="1"/>
  <c r="D57" i="13"/>
  <c r="G57" i="13" s="1"/>
  <c r="J57" i="13" s="1"/>
  <c r="J95" i="20"/>
  <c r="J95" i="19"/>
  <c r="G71" i="19"/>
  <c r="H94" i="20"/>
  <c r="K94" i="20" s="1"/>
  <c r="H94" i="19"/>
  <c r="K94" i="19" s="1"/>
  <c r="K73" i="20"/>
  <c r="D95" i="20" s="1"/>
  <c r="K93" i="20"/>
  <c r="L93" i="20" s="1"/>
  <c r="N93" i="20" s="1"/>
  <c r="G71" i="20"/>
  <c r="F55" i="20"/>
  <c r="I55" i="20" s="1"/>
  <c r="D55" i="20"/>
  <c r="G55" i="20" s="1"/>
  <c r="J55" i="20" s="1"/>
  <c r="B76" i="19"/>
  <c r="M97" i="19" s="1"/>
  <c r="D76" i="19"/>
  <c r="C56" i="19"/>
  <c r="B57" i="19"/>
  <c r="E56" i="19"/>
  <c r="H56" i="19" s="1"/>
  <c r="F55" i="19"/>
  <c r="I55" i="19" s="1"/>
  <c r="D55" i="19"/>
  <c r="G55" i="19" s="1"/>
  <c r="J55" i="19" s="1"/>
  <c r="I94" i="20"/>
  <c r="H70" i="20"/>
  <c r="N70" i="20" s="1"/>
  <c r="G92" i="20" s="1"/>
  <c r="M70" i="20"/>
  <c r="F92" i="20" s="1"/>
  <c r="C56" i="20"/>
  <c r="B76" i="20"/>
  <c r="M97" i="20" s="1"/>
  <c r="D76" i="20"/>
  <c r="E56" i="20"/>
  <c r="H56" i="20" s="1"/>
  <c r="B57" i="20"/>
  <c r="J75" i="20"/>
  <c r="C97" i="20" s="1"/>
  <c r="C75" i="20"/>
  <c r="F75" i="20"/>
  <c r="L75" i="20" s="1"/>
  <c r="E97" i="20" s="1"/>
  <c r="I74" i="20"/>
  <c r="B96" i="20" s="1"/>
  <c r="E74" i="20"/>
  <c r="C75" i="19"/>
  <c r="F75" i="19"/>
  <c r="L75" i="19" s="1"/>
  <c r="E97" i="19" s="1"/>
  <c r="J75" i="19"/>
  <c r="C97" i="19" s="1"/>
  <c r="I94" i="19"/>
  <c r="I74" i="19"/>
  <c r="B96" i="19" s="1"/>
  <c r="E74" i="19"/>
  <c r="K73" i="19"/>
  <c r="D95" i="19" s="1"/>
  <c r="G63" i="35" l="1"/>
  <c r="J63" i="35" s="1"/>
  <c r="I63" i="35"/>
  <c r="M80" i="35"/>
  <c r="K102" i="35"/>
  <c r="L102" i="35" s="1"/>
  <c r="N102" i="35" s="1"/>
  <c r="C105" i="35"/>
  <c r="L83" i="35"/>
  <c r="E105" i="35" s="1"/>
  <c r="I83" i="35"/>
  <c r="N79" i="35"/>
  <c r="G101" i="35" s="1"/>
  <c r="F101" i="35"/>
  <c r="G72" i="5"/>
  <c r="M72" i="5" s="1"/>
  <c r="F94" i="5" s="1"/>
  <c r="B79" i="27"/>
  <c r="M100" i="27" s="1"/>
  <c r="H64" i="35"/>
  <c r="J84" i="35"/>
  <c r="B84" i="35"/>
  <c r="M105" i="35" s="1"/>
  <c r="J85" i="35"/>
  <c r="F64" i="35"/>
  <c r="B104" i="35"/>
  <c r="J104" i="35" s="1"/>
  <c r="K82" i="35"/>
  <c r="D103" i="35"/>
  <c r="H103" i="35" s="1"/>
  <c r="K103" i="35" s="1"/>
  <c r="H103" i="34"/>
  <c r="K103" i="34" s="1"/>
  <c r="L103" i="34" s="1"/>
  <c r="N103" i="34" s="1"/>
  <c r="L101" i="34"/>
  <c r="N101" i="34" s="1"/>
  <c r="M80" i="34"/>
  <c r="F102" i="34" s="1"/>
  <c r="B104" i="34"/>
  <c r="J104" i="34" s="1"/>
  <c r="K82" i="34"/>
  <c r="D104" i="34" s="1"/>
  <c r="H104" i="34" s="1"/>
  <c r="K104" i="34" s="1"/>
  <c r="I83" i="34"/>
  <c r="L83" i="34"/>
  <c r="E105" i="34" s="1"/>
  <c r="C105" i="34"/>
  <c r="N79" i="34"/>
  <c r="B84" i="34"/>
  <c r="F64" i="34"/>
  <c r="H64" i="34"/>
  <c r="J84" i="34"/>
  <c r="G63" i="34"/>
  <c r="J63" i="34" s="1"/>
  <c r="I63" i="34"/>
  <c r="M81" i="34"/>
  <c r="I104" i="34"/>
  <c r="N73" i="31"/>
  <c r="G95" i="31" s="1"/>
  <c r="B79" i="31"/>
  <c r="M100" i="31" s="1"/>
  <c r="B78" i="13"/>
  <c r="M99" i="13" s="1"/>
  <c r="M98" i="13"/>
  <c r="G93" i="30"/>
  <c r="N72" i="30"/>
  <c r="G94" i="30" s="1"/>
  <c r="H71" i="19"/>
  <c r="N71" i="19" s="1"/>
  <c r="G93" i="19" s="1"/>
  <c r="F78" i="8"/>
  <c r="I96" i="30"/>
  <c r="M74" i="30" s="1"/>
  <c r="I97" i="30"/>
  <c r="L97" i="30" s="1"/>
  <c r="N97" i="30" s="1"/>
  <c r="D79" i="8"/>
  <c r="F79" i="8" s="1"/>
  <c r="N71" i="25"/>
  <c r="G93" i="25" s="1"/>
  <c r="F93" i="25"/>
  <c r="L93" i="25"/>
  <c r="N93" i="25" s="1"/>
  <c r="K96" i="30"/>
  <c r="B98" i="30"/>
  <c r="J98" i="30" s="1"/>
  <c r="K76" i="30"/>
  <c r="D98" i="30" s="1"/>
  <c r="H98" i="30" s="1"/>
  <c r="K98" i="30" s="1"/>
  <c r="L77" i="30"/>
  <c r="E99" i="30" s="1"/>
  <c r="I77" i="30"/>
  <c r="C99" i="30"/>
  <c r="F95" i="30"/>
  <c r="N73" i="30"/>
  <c r="G95" i="30" s="1"/>
  <c r="B78" i="30"/>
  <c r="M99" i="30" s="1"/>
  <c r="E59" i="30"/>
  <c r="F58" i="30"/>
  <c r="J78" i="30"/>
  <c r="H58" i="30"/>
  <c r="I57" i="30"/>
  <c r="G57" i="30"/>
  <c r="J57" i="30" s="1"/>
  <c r="L95" i="30"/>
  <c r="N95" i="30" s="1"/>
  <c r="H79" i="28"/>
  <c r="L94" i="5"/>
  <c r="N94" i="5" s="1"/>
  <c r="I98" i="31"/>
  <c r="M76" i="31" s="1"/>
  <c r="K98" i="31"/>
  <c r="K97" i="31"/>
  <c r="L97" i="31" s="1"/>
  <c r="N97" i="31" s="1"/>
  <c r="M75" i="31"/>
  <c r="F96" i="31"/>
  <c r="G80" i="31"/>
  <c r="H80" i="31" s="1"/>
  <c r="A82" i="31"/>
  <c r="A104" i="31" s="1"/>
  <c r="A62" i="31"/>
  <c r="L79" i="31"/>
  <c r="E101" i="31" s="1"/>
  <c r="I79" i="31"/>
  <c r="C101" i="31"/>
  <c r="D99" i="31"/>
  <c r="I99" i="31" s="1"/>
  <c r="I59" i="31"/>
  <c r="G59" i="31"/>
  <c r="J59" i="31" s="1"/>
  <c r="E81" i="31"/>
  <c r="D83" i="31"/>
  <c r="B64" i="31"/>
  <c r="C63" i="31"/>
  <c r="D63" i="31" s="1"/>
  <c r="B100" i="31"/>
  <c r="J100" i="31" s="1"/>
  <c r="K78" i="31"/>
  <c r="B80" i="31"/>
  <c r="M101" i="31" s="1"/>
  <c r="E61" i="31"/>
  <c r="H60" i="31"/>
  <c r="J80" i="31"/>
  <c r="F60" i="31"/>
  <c r="F82" i="31"/>
  <c r="C82" i="31"/>
  <c r="D82" i="30"/>
  <c r="C62" i="30"/>
  <c r="D62" i="30" s="1"/>
  <c r="B63" i="30"/>
  <c r="E80" i="30"/>
  <c r="G79" i="30"/>
  <c r="H79" i="30" s="1"/>
  <c r="F81" i="30"/>
  <c r="C81" i="30"/>
  <c r="A62" i="30"/>
  <c r="A82" i="30"/>
  <c r="A104" i="30" s="1"/>
  <c r="A82" i="28"/>
  <c r="A104" i="28" s="1"/>
  <c r="A62" i="28"/>
  <c r="F82" i="28"/>
  <c r="C82" i="28"/>
  <c r="G80" i="28"/>
  <c r="E81" i="28"/>
  <c r="D83" i="28"/>
  <c r="B64" i="28"/>
  <c r="C63" i="28"/>
  <c r="D63" i="28" s="1"/>
  <c r="L97" i="27"/>
  <c r="N97" i="27" s="1"/>
  <c r="K98" i="27"/>
  <c r="I59" i="27"/>
  <c r="G59" i="27"/>
  <c r="J59" i="27" s="1"/>
  <c r="E81" i="27"/>
  <c r="I98" i="27"/>
  <c r="L98" i="27" s="1"/>
  <c r="N98" i="27" s="1"/>
  <c r="B80" i="27"/>
  <c r="M101" i="27" s="1"/>
  <c r="E61" i="27"/>
  <c r="H60" i="27"/>
  <c r="J80" i="27"/>
  <c r="F60" i="27"/>
  <c r="D83" i="27"/>
  <c r="B64" i="27"/>
  <c r="C63" i="27"/>
  <c r="D63" i="27" s="1"/>
  <c r="G80" i="27"/>
  <c r="H80" i="27" s="1"/>
  <c r="G95" i="27"/>
  <c r="N74" i="27"/>
  <c r="F82" i="27"/>
  <c r="C82" i="27"/>
  <c r="B100" i="27"/>
  <c r="J100" i="27" s="1"/>
  <c r="K78" i="27"/>
  <c r="D99" i="27"/>
  <c r="H99" i="27" s="1"/>
  <c r="L79" i="27"/>
  <c r="E101" i="27" s="1"/>
  <c r="I79" i="27"/>
  <c r="C101" i="27"/>
  <c r="A82" i="27"/>
  <c r="A104" i="27" s="1"/>
  <c r="A62" i="27"/>
  <c r="C97" i="25"/>
  <c r="I75" i="25"/>
  <c r="L75" i="25"/>
  <c r="E97" i="25" s="1"/>
  <c r="D95" i="25"/>
  <c r="H95" i="25" s="1"/>
  <c r="E57" i="25"/>
  <c r="B76" i="25"/>
  <c r="M97" i="25" s="1"/>
  <c r="H56" i="25"/>
  <c r="F56" i="25"/>
  <c r="J76" i="25"/>
  <c r="I55" i="25"/>
  <c r="G55" i="25"/>
  <c r="J55" i="25" s="1"/>
  <c r="B96" i="25"/>
  <c r="J96" i="25" s="1"/>
  <c r="K74" i="25"/>
  <c r="D96" i="25" s="1"/>
  <c r="H96" i="25" s="1"/>
  <c r="K96" i="25" s="1"/>
  <c r="G79" i="25"/>
  <c r="H79" i="25" s="1"/>
  <c r="F81" i="25"/>
  <c r="C81" i="25"/>
  <c r="D82" i="25"/>
  <c r="C62" i="25"/>
  <c r="D62" i="25" s="1"/>
  <c r="B63" i="25"/>
  <c r="A82" i="25"/>
  <c r="A104" i="25" s="1"/>
  <c r="A62" i="25"/>
  <c r="E80" i="25"/>
  <c r="M72" i="24"/>
  <c r="N72" i="24" s="1"/>
  <c r="L75" i="24"/>
  <c r="E97" i="24" s="1"/>
  <c r="I75" i="24"/>
  <c r="C97" i="24"/>
  <c r="D95" i="24"/>
  <c r="H95" i="24" s="1"/>
  <c r="G55" i="24"/>
  <c r="J55" i="24" s="1"/>
  <c r="I55" i="24"/>
  <c r="B96" i="24"/>
  <c r="J96" i="24" s="1"/>
  <c r="K74" i="24"/>
  <c r="J76" i="24"/>
  <c r="B76" i="24"/>
  <c r="M97" i="24" s="1"/>
  <c r="E57" i="24"/>
  <c r="H56" i="24"/>
  <c r="F56" i="24"/>
  <c r="G79" i="24"/>
  <c r="H79" i="24" s="1"/>
  <c r="F81" i="24"/>
  <c r="C81" i="24"/>
  <c r="E80" i="24"/>
  <c r="D82" i="24"/>
  <c r="C62" i="24"/>
  <c r="D62" i="24" s="1"/>
  <c r="B63" i="24"/>
  <c r="A82" i="24"/>
  <c r="A104" i="24" s="1"/>
  <c r="A62" i="24"/>
  <c r="H71" i="17"/>
  <c r="N71" i="17" s="1"/>
  <c r="G93" i="17" s="1"/>
  <c r="I93" i="16"/>
  <c r="L94" i="17"/>
  <c r="N94" i="17" s="1"/>
  <c r="E74" i="17"/>
  <c r="K74" i="17" s="1"/>
  <c r="D96" i="17" s="1"/>
  <c r="I74" i="17"/>
  <c r="B96" i="17" s="1"/>
  <c r="K72" i="16"/>
  <c r="D94" i="16" s="1"/>
  <c r="F55" i="17"/>
  <c r="I55" i="17" s="1"/>
  <c r="D55" i="17"/>
  <c r="G55" i="17" s="1"/>
  <c r="J55" i="17" s="1"/>
  <c r="G72" i="17"/>
  <c r="M72" i="17" s="1"/>
  <c r="F94" i="17" s="1"/>
  <c r="K73" i="17"/>
  <c r="J74" i="16"/>
  <c r="C96" i="16" s="1"/>
  <c r="F74" i="16"/>
  <c r="L74" i="16" s="1"/>
  <c r="E96" i="16" s="1"/>
  <c r="C74" i="16"/>
  <c r="B95" i="17"/>
  <c r="J95" i="17" s="1"/>
  <c r="K92" i="16"/>
  <c r="L92" i="16" s="1"/>
  <c r="N92" i="16" s="1"/>
  <c r="G70" i="16"/>
  <c r="F54" i="16"/>
  <c r="I54" i="16" s="1"/>
  <c r="D54" i="16"/>
  <c r="G54" i="16" s="1"/>
  <c r="J54" i="16" s="1"/>
  <c r="F75" i="17"/>
  <c r="L75" i="17" s="1"/>
  <c r="E97" i="17" s="1"/>
  <c r="C75" i="17"/>
  <c r="J75" i="17"/>
  <c r="C97" i="17" s="1"/>
  <c r="H93" i="16"/>
  <c r="D75" i="16"/>
  <c r="B56" i="16"/>
  <c r="C55" i="16"/>
  <c r="B75" i="16"/>
  <c r="M96" i="16" s="1"/>
  <c r="E55" i="16"/>
  <c r="H55" i="16" s="1"/>
  <c r="J94" i="16"/>
  <c r="C56" i="17"/>
  <c r="D76" i="17"/>
  <c r="E56" i="17"/>
  <c r="H56" i="17" s="1"/>
  <c r="B76" i="17"/>
  <c r="M97" i="17" s="1"/>
  <c r="B57" i="17"/>
  <c r="I73" i="16"/>
  <c r="B95" i="16" s="1"/>
  <c r="E73" i="16"/>
  <c r="L95" i="14"/>
  <c r="N95" i="14" s="1"/>
  <c r="G73" i="14"/>
  <c r="M73" i="14" s="1"/>
  <c r="F95" i="14" s="1"/>
  <c r="G72" i="20"/>
  <c r="M72" i="20" s="1"/>
  <c r="F94" i="20" s="1"/>
  <c r="H71" i="5"/>
  <c r="N71" i="5" s="1"/>
  <c r="G93" i="5" s="1"/>
  <c r="J95" i="5"/>
  <c r="H95" i="5"/>
  <c r="K95" i="5" s="1"/>
  <c r="F55" i="5"/>
  <c r="I55" i="5" s="1"/>
  <c r="D55" i="5"/>
  <c r="G55" i="5" s="1"/>
  <c r="J55" i="5" s="1"/>
  <c r="E74" i="5"/>
  <c r="K74" i="5" s="1"/>
  <c r="D96" i="5" s="1"/>
  <c r="I74" i="5"/>
  <c r="B96" i="5" s="1"/>
  <c r="B76" i="5"/>
  <c r="M97" i="5" s="1"/>
  <c r="E56" i="5"/>
  <c r="H56" i="5" s="1"/>
  <c r="D76" i="5"/>
  <c r="B57" i="5"/>
  <c r="C56" i="5"/>
  <c r="I95" i="5"/>
  <c r="J75" i="5"/>
  <c r="C97" i="5" s="1"/>
  <c r="C75" i="5"/>
  <c r="F75" i="5"/>
  <c r="L75" i="5" s="1"/>
  <c r="E97" i="5" s="1"/>
  <c r="I96" i="6"/>
  <c r="H96" i="6"/>
  <c r="K96" i="6" s="1"/>
  <c r="H72" i="6"/>
  <c r="N72" i="6" s="1"/>
  <c r="G94" i="6" s="1"/>
  <c r="B78" i="6"/>
  <c r="M99" i="6" s="1"/>
  <c r="D78" i="6"/>
  <c r="B59" i="6"/>
  <c r="C58" i="6"/>
  <c r="E58" i="6"/>
  <c r="H58" i="6" s="1"/>
  <c r="K75" i="6"/>
  <c r="D97" i="6" s="1"/>
  <c r="E76" i="6"/>
  <c r="I76" i="6"/>
  <c r="B98" i="6" s="1"/>
  <c r="D57" i="6"/>
  <c r="G57" i="6" s="1"/>
  <c r="J57" i="6" s="1"/>
  <c r="F57" i="6"/>
  <c r="I57" i="6" s="1"/>
  <c r="J77" i="6"/>
  <c r="C99" i="6" s="1"/>
  <c r="F77" i="6"/>
  <c r="L77" i="6" s="1"/>
  <c r="E99" i="6" s="1"/>
  <c r="C77" i="6"/>
  <c r="J97" i="6"/>
  <c r="K95" i="6"/>
  <c r="L95" i="6" s="1"/>
  <c r="N95" i="6" s="1"/>
  <c r="G73" i="6"/>
  <c r="D79" i="9"/>
  <c r="C59" i="9"/>
  <c r="D59" i="9" s="1"/>
  <c r="B60" i="9"/>
  <c r="E77" i="9"/>
  <c r="F78" i="9"/>
  <c r="C78" i="9"/>
  <c r="B99" i="9"/>
  <c r="J99" i="9" s="1"/>
  <c r="K77" i="9"/>
  <c r="N73" i="9"/>
  <c r="G95" i="9" s="1"/>
  <c r="F95" i="9"/>
  <c r="E78" i="8"/>
  <c r="L97" i="9"/>
  <c r="N97" i="9" s="1"/>
  <c r="I78" i="9"/>
  <c r="C100" i="9"/>
  <c r="L78" i="9"/>
  <c r="E100" i="9" s="1"/>
  <c r="D98" i="9"/>
  <c r="I98" i="9" s="1"/>
  <c r="M75" i="9"/>
  <c r="B79" i="9"/>
  <c r="M100" i="9" s="1"/>
  <c r="J79" i="9"/>
  <c r="E60" i="9"/>
  <c r="H59" i="9"/>
  <c r="F59" i="9"/>
  <c r="G77" i="8"/>
  <c r="H77" i="8" s="1"/>
  <c r="F96" i="9"/>
  <c r="G58" i="9"/>
  <c r="J58" i="9" s="1"/>
  <c r="I58" i="9"/>
  <c r="B61" i="8"/>
  <c r="C60" i="8"/>
  <c r="D60" i="8" s="1"/>
  <c r="G76" i="9"/>
  <c r="H76" i="9" s="1"/>
  <c r="M71" i="19"/>
  <c r="F93" i="19" s="1"/>
  <c r="J97" i="14"/>
  <c r="G74" i="13"/>
  <c r="M74" i="13" s="1"/>
  <c r="F96" i="13" s="1"/>
  <c r="H97" i="13"/>
  <c r="K97" i="13" s="1"/>
  <c r="H96" i="14"/>
  <c r="L96" i="13"/>
  <c r="N96" i="13" s="1"/>
  <c r="I96" i="14"/>
  <c r="H72" i="14"/>
  <c r="N72" i="14" s="1"/>
  <c r="G94" i="14" s="1"/>
  <c r="M72" i="14"/>
  <c r="F94" i="14" s="1"/>
  <c r="B59" i="14"/>
  <c r="D78" i="14"/>
  <c r="C58" i="14"/>
  <c r="E58" i="14"/>
  <c r="H58" i="14" s="1"/>
  <c r="B78" i="14"/>
  <c r="M99" i="14" s="1"/>
  <c r="D57" i="14"/>
  <c r="G57" i="14" s="1"/>
  <c r="J57" i="14" s="1"/>
  <c r="F57" i="14"/>
  <c r="I57" i="14" s="1"/>
  <c r="K75" i="14"/>
  <c r="D97" i="14" s="1"/>
  <c r="C77" i="14"/>
  <c r="F77" i="14"/>
  <c r="L77" i="14" s="1"/>
  <c r="E99" i="14" s="1"/>
  <c r="J77" i="14"/>
  <c r="C99" i="14" s="1"/>
  <c r="E76" i="14"/>
  <c r="I76" i="14"/>
  <c r="B98" i="14" s="1"/>
  <c r="I77" i="13"/>
  <c r="B99" i="13" s="1"/>
  <c r="E77" i="13"/>
  <c r="D58" i="13"/>
  <c r="G58" i="13" s="1"/>
  <c r="J58" i="13" s="1"/>
  <c r="F58" i="13"/>
  <c r="I58" i="13" s="1"/>
  <c r="H73" i="13"/>
  <c r="N73" i="13" s="1"/>
  <c r="G95" i="13" s="1"/>
  <c r="M73" i="13"/>
  <c r="F95" i="13" s="1"/>
  <c r="K76" i="13"/>
  <c r="D98" i="13" s="1"/>
  <c r="I97" i="13"/>
  <c r="C78" i="13"/>
  <c r="J78" i="13"/>
  <c r="C100" i="13" s="1"/>
  <c r="F78" i="13"/>
  <c r="L78" i="13" s="1"/>
  <c r="E100" i="13" s="1"/>
  <c r="J98" i="13"/>
  <c r="D79" i="13"/>
  <c r="B60" i="13"/>
  <c r="E59" i="13"/>
  <c r="H59" i="13" s="1"/>
  <c r="C59" i="13"/>
  <c r="H95" i="19"/>
  <c r="K95" i="19" s="1"/>
  <c r="G72" i="19"/>
  <c r="H72" i="19" s="1"/>
  <c r="N72" i="19" s="1"/>
  <c r="G94" i="19" s="1"/>
  <c r="I95" i="19"/>
  <c r="L94" i="19"/>
  <c r="N94" i="19" s="1"/>
  <c r="K74" i="19"/>
  <c r="D96" i="19" s="1"/>
  <c r="K74" i="20"/>
  <c r="D96" i="20" s="1"/>
  <c r="L94" i="20"/>
  <c r="N94" i="20" s="1"/>
  <c r="B77" i="20"/>
  <c r="M98" i="20" s="1"/>
  <c r="C57" i="20"/>
  <c r="D77" i="20"/>
  <c r="B58" i="20"/>
  <c r="E57" i="20"/>
  <c r="H57" i="20" s="1"/>
  <c r="F56" i="20"/>
  <c r="I56" i="20" s="1"/>
  <c r="D56" i="20"/>
  <c r="G56" i="20" s="1"/>
  <c r="J56" i="20" s="1"/>
  <c r="I95" i="20"/>
  <c r="F56" i="19"/>
  <c r="I56" i="19" s="1"/>
  <c r="D56" i="19"/>
  <c r="G56" i="19" s="1"/>
  <c r="J56" i="19" s="1"/>
  <c r="J96" i="19"/>
  <c r="J96" i="20"/>
  <c r="I75" i="20"/>
  <c r="B97" i="20" s="1"/>
  <c r="E75" i="20"/>
  <c r="C76" i="20"/>
  <c r="F76" i="20"/>
  <c r="L76" i="20" s="1"/>
  <c r="E98" i="20" s="1"/>
  <c r="J76" i="20"/>
  <c r="C98" i="20" s="1"/>
  <c r="C76" i="19"/>
  <c r="J76" i="19"/>
  <c r="C98" i="19" s="1"/>
  <c r="F76" i="19"/>
  <c r="L76" i="19" s="1"/>
  <c r="E98" i="19" s="1"/>
  <c r="H71" i="20"/>
  <c r="N71" i="20" s="1"/>
  <c r="G93" i="20" s="1"/>
  <c r="M71" i="20"/>
  <c r="F93" i="20" s="1"/>
  <c r="B77" i="19"/>
  <c r="M98" i="19" s="1"/>
  <c r="D77" i="19"/>
  <c r="C57" i="19"/>
  <c r="B58" i="19"/>
  <c r="E57" i="19"/>
  <c r="H57" i="19" s="1"/>
  <c r="I75" i="19"/>
  <c r="B97" i="19" s="1"/>
  <c r="E75" i="19"/>
  <c r="H95" i="20"/>
  <c r="I64" i="35" l="1"/>
  <c r="G64" i="35"/>
  <c r="J64" i="35" s="1"/>
  <c r="I98" i="30"/>
  <c r="M76" i="30" s="1"/>
  <c r="F98" i="30" s="1"/>
  <c r="D104" i="35"/>
  <c r="H104" i="35" s="1"/>
  <c r="I104" i="35"/>
  <c r="M82" i="35" s="1"/>
  <c r="L85" i="35"/>
  <c r="E107" i="35" s="1"/>
  <c r="H41" i="35"/>
  <c r="L41" i="35" s="1"/>
  <c r="C107" i="35"/>
  <c r="J41" i="35" s="1"/>
  <c r="I85" i="35"/>
  <c r="B105" i="35"/>
  <c r="J105" i="35" s="1"/>
  <c r="K83" i="35"/>
  <c r="F102" i="35"/>
  <c r="N80" i="35"/>
  <c r="G102" i="35" s="1"/>
  <c r="I103" i="35"/>
  <c r="L103" i="35" s="1"/>
  <c r="N103" i="35" s="1"/>
  <c r="B85" i="35"/>
  <c r="L84" i="35"/>
  <c r="E106" i="35" s="1"/>
  <c r="I84" i="35"/>
  <c r="C106" i="35"/>
  <c r="M105" i="34"/>
  <c r="B85" i="34"/>
  <c r="M107" i="34" s="1"/>
  <c r="I64" i="34"/>
  <c r="G64" i="34"/>
  <c r="J64" i="34" s="1"/>
  <c r="B105" i="34"/>
  <c r="J105" i="34" s="1"/>
  <c r="K83" i="34"/>
  <c r="D105" i="34" s="1"/>
  <c r="H105" i="34" s="1"/>
  <c r="K105" i="34" s="1"/>
  <c r="J85" i="34"/>
  <c r="L84" i="34"/>
  <c r="E106" i="34" s="1"/>
  <c r="C106" i="34"/>
  <c r="I84" i="34"/>
  <c r="G101" i="34"/>
  <c r="N80" i="34"/>
  <c r="G102" i="34" s="1"/>
  <c r="L104" i="34"/>
  <c r="N104" i="34" s="1"/>
  <c r="M82" i="34"/>
  <c r="F104" i="34" s="1"/>
  <c r="F103" i="34"/>
  <c r="N81" i="34"/>
  <c r="G103" i="34" s="1"/>
  <c r="N74" i="31"/>
  <c r="G96" i="31" s="1"/>
  <c r="N72" i="25"/>
  <c r="G94" i="25" s="1"/>
  <c r="B79" i="13"/>
  <c r="M100" i="13" s="1"/>
  <c r="M75" i="30"/>
  <c r="F97" i="30" s="1"/>
  <c r="L96" i="30"/>
  <c r="N96" i="30" s="1"/>
  <c r="H80" i="28"/>
  <c r="F94" i="24"/>
  <c r="C79" i="8"/>
  <c r="E79" i="8" s="1"/>
  <c r="D80" i="8"/>
  <c r="D81" i="8" s="1"/>
  <c r="L98" i="31"/>
  <c r="N98" i="31" s="1"/>
  <c r="C100" i="30"/>
  <c r="I78" i="30"/>
  <c r="L78" i="30"/>
  <c r="E100" i="30" s="1"/>
  <c r="I58" i="30"/>
  <c r="G58" i="30"/>
  <c r="J58" i="30" s="1"/>
  <c r="E60" i="30"/>
  <c r="H59" i="30"/>
  <c r="J79" i="30"/>
  <c r="F59" i="30"/>
  <c r="B79" i="30"/>
  <c r="M100" i="30" s="1"/>
  <c r="K77" i="30"/>
  <c r="D99" i="30" s="1"/>
  <c r="I99" i="30" s="1"/>
  <c r="B99" i="30"/>
  <c r="J99" i="30" s="1"/>
  <c r="F96" i="30"/>
  <c r="N74" i="30"/>
  <c r="G96" i="30" s="1"/>
  <c r="H72" i="5"/>
  <c r="N72" i="5" s="1"/>
  <c r="G94" i="5" s="1"/>
  <c r="H99" i="31"/>
  <c r="M77" i="31" s="1"/>
  <c r="F99" i="31" s="1"/>
  <c r="E82" i="31"/>
  <c r="D100" i="31"/>
  <c r="I100" i="31" s="1"/>
  <c r="F83" i="31"/>
  <c r="C83" i="31"/>
  <c r="B101" i="31"/>
  <c r="J101" i="31" s="1"/>
  <c r="K79" i="31"/>
  <c r="J81" i="31"/>
  <c r="B81" i="31"/>
  <c r="M102" i="31" s="1"/>
  <c r="E62" i="31"/>
  <c r="H61" i="31"/>
  <c r="F61" i="31"/>
  <c r="F98" i="31"/>
  <c r="I60" i="31"/>
  <c r="G60" i="31"/>
  <c r="J60" i="31" s="1"/>
  <c r="A63" i="31"/>
  <c r="A83" i="31"/>
  <c r="A105" i="31" s="1"/>
  <c r="F97" i="31"/>
  <c r="L80" i="31"/>
  <c r="E102" i="31" s="1"/>
  <c r="C102" i="31"/>
  <c r="I80" i="31"/>
  <c r="D84" i="31"/>
  <c r="D85" i="31" s="1"/>
  <c r="C64" i="31"/>
  <c r="D64" i="31" s="1"/>
  <c r="G81" i="31"/>
  <c r="H81" i="31" s="1"/>
  <c r="A63" i="30"/>
  <c r="A83" i="30"/>
  <c r="A105" i="30" s="1"/>
  <c r="G80" i="30"/>
  <c r="H80" i="30" s="1"/>
  <c r="F82" i="30"/>
  <c r="C82" i="30"/>
  <c r="E81" i="30"/>
  <c r="D83" i="30"/>
  <c r="C63" i="30"/>
  <c r="D63" i="30" s="1"/>
  <c r="B64" i="30"/>
  <c r="A63" i="28"/>
  <c r="A83" i="28"/>
  <c r="A105" i="28" s="1"/>
  <c r="D84" i="28"/>
  <c r="D85" i="28" s="1"/>
  <c r="C64" i="28"/>
  <c r="D64" i="28" s="1"/>
  <c r="F83" i="28"/>
  <c r="C83" i="28"/>
  <c r="G81" i="28"/>
  <c r="E82" i="28"/>
  <c r="M76" i="27"/>
  <c r="F98" i="27" s="1"/>
  <c r="I99" i="27"/>
  <c r="M77" i="27" s="1"/>
  <c r="K99" i="27"/>
  <c r="I60" i="27"/>
  <c r="G60" i="27"/>
  <c r="J60" i="27" s="1"/>
  <c r="G81" i="27"/>
  <c r="H81" i="27" s="1"/>
  <c r="B101" i="27"/>
  <c r="J101" i="27" s="1"/>
  <c r="K79" i="27"/>
  <c r="D100" i="27"/>
  <c r="I100" i="27" s="1"/>
  <c r="G96" i="27"/>
  <c r="N75" i="27"/>
  <c r="G97" i="27" s="1"/>
  <c r="L80" i="27"/>
  <c r="E102" i="27" s="1"/>
  <c r="C102" i="27"/>
  <c r="I80" i="27"/>
  <c r="A63" i="27"/>
  <c r="A83" i="27"/>
  <c r="A105" i="27" s="1"/>
  <c r="D84" i="27"/>
  <c r="C64" i="27"/>
  <c r="D64" i="27" s="1"/>
  <c r="E82" i="27"/>
  <c r="F83" i="27"/>
  <c r="C83" i="27"/>
  <c r="J81" i="27"/>
  <c r="B81" i="27"/>
  <c r="M102" i="27" s="1"/>
  <c r="E62" i="27"/>
  <c r="H61" i="27"/>
  <c r="F61" i="27"/>
  <c r="I95" i="25"/>
  <c r="M73" i="25" s="1"/>
  <c r="F95" i="25" s="1"/>
  <c r="I76" i="25"/>
  <c r="C98" i="25"/>
  <c r="L76" i="25"/>
  <c r="E98" i="25" s="1"/>
  <c r="H57" i="25"/>
  <c r="F57" i="25"/>
  <c r="B77" i="25"/>
  <c r="M98" i="25" s="1"/>
  <c r="J77" i="25"/>
  <c r="E58" i="25"/>
  <c r="I96" i="25"/>
  <c r="M74" i="25" s="1"/>
  <c r="F96" i="25" s="1"/>
  <c r="I56" i="25"/>
  <c r="G56" i="25"/>
  <c r="J56" i="25" s="1"/>
  <c r="B97" i="25"/>
  <c r="J97" i="25" s="1"/>
  <c r="K75" i="25"/>
  <c r="K95" i="25"/>
  <c r="D83" i="25"/>
  <c r="C63" i="25"/>
  <c r="D63" i="25" s="1"/>
  <c r="B64" i="25"/>
  <c r="F82" i="25"/>
  <c r="C82" i="25"/>
  <c r="E81" i="25"/>
  <c r="A83" i="25"/>
  <c r="A105" i="25" s="1"/>
  <c r="A63" i="25"/>
  <c r="G80" i="25"/>
  <c r="H80" i="25" s="1"/>
  <c r="I95" i="24"/>
  <c r="M73" i="24" s="1"/>
  <c r="F95" i="24" s="1"/>
  <c r="I56" i="24"/>
  <c r="G56" i="24"/>
  <c r="J56" i="24" s="1"/>
  <c r="C98" i="24"/>
  <c r="L76" i="24"/>
  <c r="E98" i="24" s="1"/>
  <c r="I76" i="24"/>
  <c r="K75" i="24"/>
  <c r="B97" i="24"/>
  <c r="J97" i="24" s="1"/>
  <c r="D96" i="24"/>
  <c r="H96" i="24" s="1"/>
  <c r="B77" i="24"/>
  <c r="M98" i="24" s="1"/>
  <c r="E58" i="24"/>
  <c r="J77" i="24"/>
  <c r="F57" i="24"/>
  <c r="H57" i="24"/>
  <c r="K95" i="24"/>
  <c r="G94" i="24"/>
  <c r="N73" i="24"/>
  <c r="A83" i="24"/>
  <c r="A105" i="24" s="1"/>
  <c r="A63" i="24"/>
  <c r="D83" i="24"/>
  <c r="C63" i="24"/>
  <c r="D63" i="24" s="1"/>
  <c r="B64" i="24"/>
  <c r="G80" i="24"/>
  <c r="H80" i="24" s="1"/>
  <c r="F82" i="24"/>
  <c r="C82" i="24"/>
  <c r="E81" i="24"/>
  <c r="I96" i="17"/>
  <c r="H72" i="17"/>
  <c r="N72" i="17" s="1"/>
  <c r="G94" i="17" s="1"/>
  <c r="J96" i="17"/>
  <c r="H96" i="17"/>
  <c r="K96" i="17" s="1"/>
  <c r="J95" i="16"/>
  <c r="H94" i="16"/>
  <c r="K94" i="16" s="1"/>
  <c r="K73" i="16"/>
  <c r="D95" i="16" s="1"/>
  <c r="F75" i="16"/>
  <c r="L75" i="16" s="1"/>
  <c r="E97" i="16" s="1"/>
  <c r="J75" i="16"/>
  <c r="C97" i="16" s="1"/>
  <c r="C75" i="16"/>
  <c r="I75" i="17"/>
  <c r="E75" i="17"/>
  <c r="K75" i="17" s="1"/>
  <c r="D97" i="17" s="1"/>
  <c r="F76" i="17"/>
  <c r="L76" i="17" s="1"/>
  <c r="E98" i="17" s="1"/>
  <c r="J76" i="17"/>
  <c r="C98" i="17" s="1"/>
  <c r="C76" i="17"/>
  <c r="K93" i="16"/>
  <c r="L93" i="16" s="1"/>
  <c r="N93" i="16" s="1"/>
  <c r="M70" i="16"/>
  <c r="F92" i="16" s="1"/>
  <c r="H70" i="16"/>
  <c r="N70" i="16" s="1"/>
  <c r="G92" i="16" s="1"/>
  <c r="G71" i="16"/>
  <c r="D77" i="17"/>
  <c r="C57" i="17"/>
  <c r="B77" i="17"/>
  <c r="M98" i="17" s="1"/>
  <c r="B58" i="17"/>
  <c r="E57" i="17"/>
  <c r="H57" i="17" s="1"/>
  <c r="F56" i="17"/>
  <c r="I56" i="17" s="1"/>
  <c r="D56" i="17"/>
  <c r="G56" i="17" s="1"/>
  <c r="J56" i="17" s="1"/>
  <c r="D55" i="16"/>
  <c r="G55" i="16" s="1"/>
  <c r="J55" i="16" s="1"/>
  <c r="F55" i="16"/>
  <c r="I55" i="16" s="1"/>
  <c r="I74" i="16"/>
  <c r="B96" i="16" s="1"/>
  <c r="E74" i="16"/>
  <c r="D95" i="17"/>
  <c r="H95" i="17" s="1"/>
  <c r="K95" i="17" s="1"/>
  <c r="B76" i="16"/>
  <c r="M97" i="16" s="1"/>
  <c r="E56" i="16"/>
  <c r="H56" i="16" s="1"/>
  <c r="D76" i="16"/>
  <c r="B57" i="16"/>
  <c r="C56" i="16"/>
  <c r="I94" i="16"/>
  <c r="I96" i="5"/>
  <c r="L95" i="5"/>
  <c r="N95" i="5" s="1"/>
  <c r="G73" i="5"/>
  <c r="M73" i="5" s="1"/>
  <c r="F95" i="5" s="1"/>
  <c r="H96" i="5"/>
  <c r="F56" i="5"/>
  <c r="I56" i="5" s="1"/>
  <c r="D56" i="5"/>
  <c r="G56" i="5" s="1"/>
  <c r="J56" i="5" s="1"/>
  <c r="E75" i="5"/>
  <c r="K75" i="5" s="1"/>
  <c r="D97" i="5" s="1"/>
  <c r="I75" i="5"/>
  <c r="B97" i="5" s="1"/>
  <c r="C57" i="5"/>
  <c r="B77" i="5"/>
  <c r="M98" i="5" s="1"/>
  <c r="E57" i="5"/>
  <c r="H57" i="5" s="1"/>
  <c r="D77" i="5"/>
  <c r="B58" i="5"/>
  <c r="C76" i="5"/>
  <c r="J76" i="5"/>
  <c r="C98" i="5" s="1"/>
  <c r="F76" i="5"/>
  <c r="L76" i="5" s="1"/>
  <c r="E98" i="5" s="1"/>
  <c r="J96" i="5"/>
  <c r="L96" i="6"/>
  <c r="N96" i="6" s="1"/>
  <c r="G74" i="6"/>
  <c r="M74" i="6" s="1"/>
  <c r="F96" i="6" s="1"/>
  <c r="H98" i="9"/>
  <c r="J98" i="6"/>
  <c r="H97" i="6"/>
  <c r="K97" i="6" s="1"/>
  <c r="I97" i="6"/>
  <c r="H73" i="6"/>
  <c r="M73" i="6"/>
  <c r="F95" i="6" s="1"/>
  <c r="C78" i="6"/>
  <c r="F78" i="6"/>
  <c r="L78" i="6" s="1"/>
  <c r="E100" i="6" s="1"/>
  <c r="J78" i="6"/>
  <c r="C100" i="6" s="1"/>
  <c r="K76" i="6"/>
  <c r="D98" i="6" s="1"/>
  <c r="I77" i="6"/>
  <c r="B99" i="6" s="1"/>
  <c r="E77" i="6"/>
  <c r="F58" i="6"/>
  <c r="I58" i="6" s="1"/>
  <c r="D58" i="6"/>
  <c r="G58" i="6" s="1"/>
  <c r="J58" i="6" s="1"/>
  <c r="D79" i="6"/>
  <c r="B79" i="6"/>
  <c r="M100" i="6" s="1"/>
  <c r="B60" i="6"/>
  <c r="E59" i="6"/>
  <c r="H59" i="6" s="1"/>
  <c r="C59" i="6"/>
  <c r="B62" i="8"/>
  <c r="C61" i="8"/>
  <c r="D61" i="8" s="1"/>
  <c r="F97" i="9"/>
  <c r="D99" i="9"/>
  <c r="I99" i="9" s="1"/>
  <c r="C79" i="9"/>
  <c r="F79" i="9"/>
  <c r="G59" i="9"/>
  <c r="J59" i="9" s="1"/>
  <c r="I59" i="9"/>
  <c r="N74" i="9"/>
  <c r="G96" i="9" s="1"/>
  <c r="E61" i="9"/>
  <c r="J80" i="9"/>
  <c r="F60" i="9"/>
  <c r="H60" i="9"/>
  <c r="B80" i="9"/>
  <c r="M101" i="9" s="1"/>
  <c r="K78" i="9"/>
  <c r="B100" i="9"/>
  <c r="J100" i="9" s="1"/>
  <c r="G78" i="8"/>
  <c r="H78" i="8" s="1"/>
  <c r="L79" i="9"/>
  <c r="E101" i="9" s="1"/>
  <c r="I79" i="9"/>
  <c r="C101" i="9"/>
  <c r="E78" i="9"/>
  <c r="G77" i="9"/>
  <c r="H77" i="9" s="1"/>
  <c r="B61" i="9"/>
  <c r="D80" i="9"/>
  <c r="C60" i="9"/>
  <c r="D60" i="9" s="1"/>
  <c r="I96" i="20"/>
  <c r="G74" i="14"/>
  <c r="M74" i="14" s="1"/>
  <c r="F96" i="14" s="1"/>
  <c r="K96" i="14"/>
  <c r="L96" i="14" s="1"/>
  <c r="N96" i="14" s="1"/>
  <c r="G75" i="13"/>
  <c r="M75" i="13" s="1"/>
  <c r="F97" i="13" s="1"/>
  <c r="I97" i="14"/>
  <c r="J98" i="14"/>
  <c r="H97" i="14"/>
  <c r="D58" i="14"/>
  <c r="G58" i="14" s="1"/>
  <c r="J58" i="14" s="1"/>
  <c r="F58" i="14"/>
  <c r="I58" i="14" s="1"/>
  <c r="L97" i="13"/>
  <c r="N97" i="13" s="1"/>
  <c r="B79" i="14"/>
  <c r="M100" i="14" s="1"/>
  <c r="D79" i="14"/>
  <c r="C59" i="14"/>
  <c r="B60" i="14"/>
  <c r="E59" i="14"/>
  <c r="H59" i="14" s="1"/>
  <c r="H73" i="14"/>
  <c r="F78" i="14"/>
  <c r="L78" i="14" s="1"/>
  <c r="E100" i="14" s="1"/>
  <c r="J78" i="14"/>
  <c r="C100" i="14" s="1"/>
  <c r="C78" i="14"/>
  <c r="K76" i="14"/>
  <c r="D98" i="14" s="1"/>
  <c r="I77" i="14"/>
  <c r="B99" i="14" s="1"/>
  <c r="E77" i="14"/>
  <c r="D80" i="13"/>
  <c r="B61" i="13"/>
  <c r="E60" i="13"/>
  <c r="H60" i="13" s="1"/>
  <c r="C60" i="13"/>
  <c r="C79" i="13"/>
  <c r="F79" i="13"/>
  <c r="L79" i="13" s="1"/>
  <c r="E101" i="13" s="1"/>
  <c r="J79" i="13"/>
  <c r="C101" i="13" s="1"/>
  <c r="J99" i="13"/>
  <c r="F59" i="13"/>
  <c r="I59" i="13" s="1"/>
  <c r="D59" i="13"/>
  <c r="G59" i="13" s="1"/>
  <c r="J59" i="13" s="1"/>
  <c r="I78" i="13"/>
  <c r="B100" i="13" s="1"/>
  <c r="E78" i="13"/>
  <c r="I98" i="13"/>
  <c r="H98" i="13"/>
  <c r="H74" i="13"/>
  <c r="N74" i="13" s="1"/>
  <c r="G96" i="13" s="1"/>
  <c r="K77" i="13"/>
  <c r="D99" i="13" s="1"/>
  <c r="H96" i="20"/>
  <c r="G73" i="19"/>
  <c r="H73" i="19" s="1"/>
  <c r="N73" i="19" s="1"/>
  <c r="G95" i="19" s="1"/>
  <c r="M72" i="19"/>
  <c r="F94" i="19" s="1"/>
  <c r="J97" i="20"/>
  <c r="L95" i="19"/>
  <c r="N95" i="19" s="1"/>
  <c r="K75" i="19"/>
  <c r="D97" i="19" s="1"/>
  <c r="F57" i="19"/>
  <c r="I57" i="19" s="1"/>
  <c r="D57" i="19"/>
  <c r="G57" i="19" s="1"/>
  <c r="J57" i="19" s="1"/>
  <c r="I76" i="20"/>
  <c r="B98" i="20" s="1"/>
  <c r="E76" i="20"/>
  <c r="I76" i="19"/>
  <c r="B98" i="19" s="1"/>
  <c r="E76" i="19"/>
  <c r="K75" i="20"/>
  <c r="D97" i="20" s="1"/>
  <c r="K95" i="20"/>
  <c r="L95" i="20" s="1"/>
  <c r="N95" i="20" s="1"/>
  <c r="G73" i="20"/>
  <c r="D78" i="20"/>
  <c r="C58" i="20"/>
  <c r="E58" i="20"/>
  <c r="H58" i="20" s="1"/>
  <c r="B59" i="20"/>
  <c r="B78" i="20"/>
  <c r="M99" i="20" s="1"/>
  <c r="I96" i="19"/>
  <c r="H72" i="20"/>
  <c r="N72" i="20" s="1"/>
  <c r="G94" i="20" s="1"/>
  <c r="F57" i="20"/>
  <c r="I57" i="20" s="1"/>
  <c r="D57" i="20"/>
  <c r="G57" i="20" s="1"/>
  <c r="J57" i="20" s="1"/>
  <c r="C77" i="19"/>
  <c r="J77" i="19"/>
  <c r="C99" i="19" s="1"/>
  <c r="F77" i="19"/>
  <c r="L77" i="19" s="1"/>
  <c r="E99" i="19" s="1"/>
  <c r="J97" i="19"/>
  <c r="B78" i="19"/>
  <c r="M99" i="19" s="1"/>
  <c r="D78" i="19"/>
  <c r="C58" i="19"/>
  <c r="B59" i="19"/>
  <c r="E58" i="19"/>
  <c r="H58" i="19" s="1"/>
  <c r="J77" i="20"/>
  <c r="C99" i="20" s="1"/>
  <c r="C77" i="20"/>
  <c r="F77" i="20"/>
  <c r="L77" i="20" s="1"/>
  <c r="E99" i="20" s="1"/>
  <c r="H96" i="19"/>
  <c r="D105" i="35" l="1"/>
  <c r="I105" i="35" s="1"/>
  <c r="H105" i="35"/>
  <c r="N75" i="31"/>
  <c r="G97" i="31" s="1"/>
  <c r="B106" i="35"/>
  <c r="J106" i="35" s="1"/>
  <c r="K84" i="35"/>
  <c r="M81" i="35"/>
  <c r="L98" i="30"/>
  <c r="N98" i="30" s="1"/>
  <c r="B107" i="35"/>
  <c r="K85" i="35"/>
  <c r="J107" i="35"/>
  <c r="F104" i="35"/>
  <c r="M106" i="34"/>
  <c r="M106" i="35"/>
  <c r="M107" i="35"/>
  <c r="K104" i="35"/>
  <c r="L104" i="35"/>
  <c r="N104" i="35" s="1"/>
  <c r="I105" i="34"/>
  <c r="M83" i="34" s="1"/>
  <c r="F105" i="34" s="1"/>
  <c r="B106" i="34"/>
  <c r="J106" i="34" s="1"/>
  <c r="K84" i="34"/>
  <c r="D106" i="34" s="1"/>
  <c r="I106" i="34" s="1"/>
  <c r="L85" i="34"/>
  <c r="E107" i="34" s="1"/>
  <c r="I85" i="34"/>
  <c r="H41" i="34"/>
  <c r="C107" i="34"/>
  <c r="J41" i="34" s="1"/>
  <c r="N82" i="34"/>
  <c r="G104" i="34" s="1"/>
  <c r="B80" i="13"/>
  <c r="M101" i="13" s="1"/>
  <c r="C80" i="8"/>
  <c r="E80" i="8" s="1"/>
  <c r="H81" i="28"/>
  <c r="F80" i="8"/>
  <c r="N75" i="30"/>
  <c r="N76" i="30" s="1"/>
  <c r="G98" i="30" s="1"/>
  <c r="I95" i="16"/>
  <c r="L95" i="25"/>
  <c r="N95" i="25" s="1"/>
  <c r="N73" i="25"/>
  <c r="G95" i="25" s="1"/>
  <c r="K99" i="31"/>
  <c r="L99" i="31" s="1"/>
  <c r="N99" i="31" s="1"/>
  <c r="G59" i="30"/>
  <c r="J59" i="30" s="1"/>
  <c r="I59" i="30"/>
  <c r="L79" i="30"/>
  <c r="E101" i="30" s="1"/>
  <c r="I79" i="30"/>
  <c r="C101" i="30"/>
  <c r="H99" i="30"/>
  <c r="M77" i="30" s="1"/>
  <c r="H60" i="30"/>
  <c r="J80" i="30"/>
  <c r="F60" i="30"/>
  <c r="B80" i="30"/>
  <c r="M101" i="30" s="1"/>
  <c r="E61" i="30"/>
  <c r="B100" i="30"/>
  <c r="J100" i="30" s="1"/>
  <c r="K78" i="30"/>
  <c r="D100" i="30" s="1"/>
  <c r="H100" i="30" s="1"/>
  <c r="K100" i="30" s="1"/>
  <c r="H73" i="5"/>
  <c r="N73" i="5" s="1"/>
  <c r="G95" i="5" s="1"/>
  <c r="H100" i="31"/>
  <c r="M78" i="31" s="1"/>
  <c r="F100" i="31" s="1"/>
  <c r="F85" i="31"/>
  <c r="C85" i="31"/>
  <c r="F41" i="31"/>
  <c r="I81" i="31"/>
  <c r="C103" i="31"/>
  <c r="L81" i="31"/>
  <c r="E103" i="31" s="1"/>
  <c r="B102" i="31"/>
  <c r="J102" i="31" s="1"/>
  <c r="K80" i="31"/>
  <c r="E63" i="31"/>
  <c r="F62" i="31"/>
  <c r="J82" i="31"/>
  <c r="B82" i="31"/>
  <c r="M103" i="31" s="1"/>
  <c r="H62" i="31"/>
  <c r="D101" i="31"/>
  <c r="I101" i="31" s="1"/>
  <c r="G82" i="31"/>
  <c r="H82" i="31" s="1"/>
  <c r="A64" i="31"/>
  <c r="A84" i="31"/>
  <c r="A106" i="31" s="1"/>
  <c r="I61" i="31"/>
  <c r="G61" i="31"/>
  <c r="J61" i="31" s="1"/>
  <c r="E83" i="31"/>
  <c r="F84" i="31"/>
  <c r="C84" i="31"/>
  <c r="G81" i="30"/>
  <c r="H81" i="30" s="1"/>
  <c r="G97" i="30"/>
  <c r="F83" i="30"/>
  <c r="C83" i="30"/>
  <c r="E82" i="30"/>
  <c r="D84" i="30"/>
  <c r="D85" i="30" s="1"/>
  <c r="C64" i="30"/>
  <c r="D64" i="30" s="1"/>
  <c r="A64" i="30"/>
  <c r="A84" i="30"/>
  <c r="A106" i="30" s="1"/>
  <c r="F85" i="28"/>
  <c r="C85" i="28"/>
  <c r="F41" i="28"/>
  <c r="A64" i="28"/>
  <c r="A84" i="28"/>
  <c r="A106" i="28" s="1"/>
  <c r="G82" i="28"/>
  <c r="E83" i="28"/>
  <c r="F84" i="28"/>
  <c r="C84" i="28"/>
  <c r="L99" i="27"/>
  <c r="N99" i="27" s="1"/>
  <c r="N76" i="27"/>
  <c r="G98" i="27" s="1"/>
  <c r="E83" i="27"/>
  <c r="G82" i="27"/>
  <c r="H82" i="27" s="1"/>
  <c r="B102" i="27"/>
  <c r="J102" i="27" s="1"/>
  <c r="K80" i="27"/>
  <c r="E63" i="27"/>
  <c r="F62" i="27"/>
  <c r="J82" i="27"/>
  <c r="B82" i="27"/>
  <c r="M103" i="27" s="1"/>
  <c r="H62" i="27"/>
  <c r="F84" i="27"/>
  <c r="C84" i="27"/>
  <c r="H100" i="27"/>
  <c r="F99" i="27"/>
  <c r="D101" i="27"/>
  <c r="H101" i="27" s="1"/>
  <c r="I61" i="27"/>
  <c r="G61" i="27"/>
  <c r="J61" i="27" s="1"/>
  <c r="I81" i="27"/>
  <c r="C103" i="27"/>
  <c r="L81" i="27"/>
  <c r="E103" i="27" s="1"/>
  <c r="D85" i="27"/>
  <c r="A64" i="27"/>
  <c r="A84" i="27"/>
  <c r="A106" i="27" s="1"/>
  <c r="L77" i="25"/>
  <c r="E99" i="25" s="1"/>
  <c r="C99" i="25"/>
  <c r="I77" i="25"/>
  <c r="D97" i="25"/>
  <c r="I97" i="25" s="1"/>
  <c r="I57" i="25"/>
  <c r="G57" i="25"/>
  <c r="J57" i="25" s="1"/>
  <c r="B98" i="25"/>
  <c r="J98" i="25" s="1"/>
  <c r="K76" i="25"/>
  <c r="L96" i="25"/>
  <c r="N96" i="25" s="1"/>
  <c r="E59" i="25"/>
  <c r="H58" i="25"/>
  <c r="J78" i="25"/>
  <c r="B78" i="25"/>
  <c r="M99" i="25" s="1"/>
  <c r="F58" i="25"/>
  <c r="G81" i="25"/>
  <c r="H81" i="25" s="1"/>
  <c r="F83" i="25"/>
  <c r="C83" i="25"/>
  <c r="A84" i="25"/>
  <c r="A106" i="25" s="1"/>
  <c r="A64" i="25"/>
  <c r="E82" i="25"/>
  <c r="C64" i="25"/>
  <c r="D64" i="25" s="1"/>
  <c r="D84" i="25"/>
  <c r="L95" i="24"/>
  <c r="N95" i="24" s="1"/>
  <c r="I96" i="24"/>
  <c r="M74" i="24" s="1"/>
  <c r="F96" i="24" s="1"/>
  <c r="D97" i="24"/>
  <c r="I97" i="24" s="1"/>
  <c r="G57" i="24"/>
  <c r="J57" i="24" s="1"/>
  <c r="I57" i="24"/>
  <c r="K76" i="24"/>
  <c r="B98" i="24"/>
  <c r="J98" i="24" s="1"/>
  <c r="I77" i="24"/>
  <c r="L77" i="24"/>
  <c r="E99" i="24" s="1"/>
  <c r="C99" i="24"/>
  <c r="K96" i="24"/>
  <c r="J78" i="24"/>
  <c r="F58" i="24"/>
  <c r="E59" i="24"/>
  <c r="B78" i="24"/>
  <c r="M99" i="24" s="1"/>
  <c r="H58" i="24"/>
  <c r="G95" i="24"/>
  <c r="E82" i="24"/>
  <c r="F83" i="24"/>
  <c r="C83" i="24"/>
  <c r="C64" i="24"/>
  <c r="D64" i="24" s="1"/>
  <c r="D84" i="24"/>
  <c r="D85" i="24" s="1"/>
  <c r="G81" i="24"/>
  <c r="H81" i="24" s="1"/>
  <c r="A84" i="24"/>
  <c r="A106" i="24" s="1"/>
  <c r="A64" i="24"/>
  <c r="G74" i="17"/>
  <c r="M74" i="17" s="1"/>
  <c r="F96" i="17" s="1"/>
  <c r="H97" i="17"/>
  <c r="K97" i="17" s="1"/>
  <c r="I95" i="17"/>
  <c r="L95" i="17" s="1"/>
  <c r="N95" i="17" s="1"/>
  <c r="G72" i="16"/>
  <c r="M72" i="16" s="1"/>
  <c r="F94" i="16" s="1"/>
  <c r="I97" i="17"/>
  <c r="L96" i="17"/>
  <c r="N96" i="17" s="1"/>
  <c r="J96" i="16"/>
  <c r="B77" i="16"/>
  <c r="M98" i="16" s="1"/>
  <c r="C57" i="16"/>
  <c r="D77" i="16"/>
  <c r="B58" i="16"/>
  <c r="E57" i="16"/>
  <c r="H57" i="16" s="1"/>
  <c r="D78" i="17"/>
  <c r="B59" i="17"/>
  <c r="E58" i="17"/>
  <c r="H58" i="17" s="1"/>
  <c r="B78" i="17"/>
  <c r="M99" i="17" s="1"/>
  <c r="C58" i="17"/>
  <c r="B97" i="17"/>
  <c r="J97" i="17" s="1"/>
  <c r="F76" i="16"/>
  <c r="L76" i="16" s="1"/>
  <c r="E98" i="16" s="1"/>
  <c r="J76" i="16"/>
  <c r="C98" i="16" s="1"/>
  <c r="C76" i="16"/>
  <c r="L94" i="16"/>
  <c r="N94" i="16" s="1"/>
  <c r="K74" i="16"/>
  <c r="D96" i="16" s="1"/>
  <c r="M71" i="16"/>
  <c r="F93" i="16" s="1"/>
  <c r="H71" i="16"/>
  <c r="N71" i="16" s="1"/>
  <c r="G93" i="16" s="1"/>
  <c r="I75" i="16"/>
  <c r="B97" i="16" s="1"/>
  <c r="E75" i="16"/>
  <c r="H95" i="16"/>
  <c r="F57" i="17"/>
  <c r="I57" i="17" s="1"/>
  <c r="D57" i="17"/>
  <c r="G57" i="17" s="1"/>
  <c r="J57" i="17" s="1"/>
  <c r="D56" i="16"/>
  <c r="G56" i="16" s="1"/>
  <c r="J56" i="16" s="1"/>
  <c r="F56" i="16"/>
  <c r="I56" i="16" s="1"/>
  <c r="F77" i="17"/>
  <c r="L77" i="17" s="1"/>
  <c r="E99" i="17" s="1"/>
  <c r="J77" i="17"/>
  <c r="C99" i="17" s="1"/>
  <c r="C77" i="17"/>
  <c r="E76" i="17"/>
  <c r="K76" i="17" s="1"/>
  <c r="D98" i="17" s="1"/>
  <c r="I76" i="17"/>
  <c r="M76" i="9"/>
  <c r="F98" i="9" s="1"/>
  <c r="K98" i="9"/>
  <c r="L98" i="9" s="1"/>
  <c r="N98" i="9" s="1"/>
  <c r="H99" i="9"/>
  <c r="M77" i="9" s="1"/>
  <c r="G74" i="5"/>
  <c r="M74" i="5" s="1"/>
  <c r="F96" i="5" s="1"/>
  <c r="K96" i="5"/>
  <c r="L96" i="5" s="1"/>
  <c r="N96" i="5" s="1"/>
  <c r="I97" i="5"/>
  <c r="J97" i="5"/>
  <c r="H97" i="5"/>
  <c r="K97" i="5" s="1"/>
  <c r="C77" i="5"/>
  <c r="F77" i="5"/>
  <c r="L77" i="5" s="1"/>
  <c r="E99" i="5" s="1"/>
  <c r="J77" i="5"/>
  <c r="C99" i="5" s="1"/>
  <c r="I76" i="5"/>
  <c r="E76" i="5"/>
  <c r="K76" i="5" s="1"/>
  <c r="D98" i="5" s="1"/>
  <c r="D78" i="5"/>
  <c r="B78" i="5"/>
  <c r="M99" i="5" s="1"/>
  <c r="B59" i="5"/>
  <c r="C58" i="5"/>
  <c r="E58" i="5"/>
  <c r="H58" i="5" s="1"/>
  <c r="D57" i="5"/>
  <c r="G57" i="5" s="1"/>
  <c r="J57" i="5" s="1"/>
  <c r="F57" i="5"/>
  <c r="I57" i="5" s="1"/>
  <c r="L97" i="6"/>
  <c r="N97" i="6" s="1"/>
  <c r="G75" i="6"/>
  <c r="M75" i="6" s="1"/>
  <c r="F97" i="6" s="1"/>
  <c r="J99" i="6"/>
  <c r="H98" i="6"/>
  <c r="K98" i="6" s="1"/>
  <c r="I98" i="6"/>
  <c r="E78" i="6"/>
  <c r="I78" i="6"/>
  <c r="B100" i="6" s="1"/>
  <c r="B80" i="6"/>
  <c r="M101" i="6" s="1"/>
  <c r="B61" i="6"/>
  <c r="C60" i="6"/>
  <c r="E60" i="6"/>
  <c r="H60" i="6" s="1"/>
  <c r="D80" i="6"/>
  <c r="K77" i="6"/>
  <c r="D99" i="6" s="1"/>
  <c r="N73" i="6"/>
  <c r="G95" i="6" s="1"/>
  <c r="H74" i="6"/>
  <c r="N74" i="6" s="1"/>
  <c r="G96" i="6" s="1"/>
  <c r="D59" i="6"/>
  <c r="G59" i="6" s="1"/>
  <c r="J59" i="6" s="1"/>
  <c r="F59" i="6"/>
  <c r="I59" i="6" s="1"/>
  <c r="C79" i="6"/>
  <c r="J79" i="6"/>
  <c r="C101" i="6" s="1"/>
  <c r="F79" i="6"/>
  <c r="L79" i="6" s="1"/>
  <c r="E101" i="6" s="1"/>
  <c r="E62" i="9"/>
  <c r="J81" i="9"/>
  <c r="B81" i="9"/>
  <c r="M102" i="9" s="1"/>
  <c r="F61" i="9"/>
  <c r="H61" i="9"/>
  <c r="K79" i="9"/>
  <c r="B101" i="9"/>
  <c r="J101" i="9" s="1"/>
  <c r="D100" i="9"/>
  <c r="I100" i="9" s="1"/>
  <c r="N75" i="9"/>
  <c r="G97" i="9" s="1"/>
  <c r="D82" i="8"/>
  <c r="C62" i="8"/>
  <c r="D62" i="8" s="1"/>
  <c r="B63" i="8"/>
  <c r="C80" i="9"/>
  <c r="F80" i="9"/>
  <c r="G60" i="9"/>
  <c r="J60" i="9" s="1"/>
  <c r="I60" i="9"/>
  <c r="E79" i="9"/>
  <c r="G78" i="9"/>
  <c r="H78" i="9" s="1"/>
  <c r="B62" i="9"/>
  <c r="D81" i="9"/>
  <c r="C61" i="9"/>
  <c r="D61" i="9" s="1"/>
  <c r="G79" i="8"/>
  <c r="H79" i="8" s="1"/>
  <c r="L80" i="9"/>
  <c r="E102" i="9" s="1"/>
  <c r="I80" i="9"/>
  <c r="C102" i="9"/>
  <c r="C81" i="8"/>
  <c r="F81" i="8"/>
  <c r="G74" i="20"/>
  <c r="M74" i="20" s="1"/>
  <c r="F96" i="20" s="1"/>
  <c r="K96" i="20"/>
  <c r="L96" i="20" s="1"/>
  <c r="N96" i="20" s="1"/>
  <c r="M73" i="19"/>
  <c r="F95" i="19" s="1"/>
  <c r="G75" i="14"/>
  <c r="M75" i="14" s="1"/>
  <c r="F97" i="14" s="1"/>
  <c r="K97" i="14"/>
  <c r="L97" i="14" s="1"/>
  <c r="N97" i="14" s="1"/>
  <c r="H75" i="13"/>
  <c r="N75" i="13" s="1"/>
  <c r="G97" i="13" s="1"/>
  <c r="I99" i="13"/>
  <c r="H99" i="13"/>
  <c r="K99" i="13" s="1"/>
  <c r="J99" i="14"/>
  <c r="C79" i="14"/>
  <c r="F79" i="14"/>
  <c r="L79" i="14" s="1"/>
  <c r="E101" i="14" s="1"/>
  <c r="J79" i="14"/>
  <c r="C101" i="14" s="1"/>
  <c r="K77" i="14"/>
  <c r="D99" i="14" s="1"/>
  <c r="H98" i="14"/>
  <c r="B61" i="14"/>
  <c r="D80" i="14"/>
  <c r="B80" i="14"/>
  <c r="M101" i="14" s="1"/>
  <c r="C60" i="14"/>
  <c r="E60" i="14"/>
  <c r="H60" i="14" s="1"/>
  <c r="N73" i="14"/>
  <c r="G95" i="14" s="1"/>
  <c r="H74" i="14"/>
  <c r="N74" i="14" s="1"/>
  <c r="G96" i="14" s="1"/>
  <c r="I98" i="14"/>
  <c r="E78" i="14"/>
  <c r="I78" i="14"/>
  <c r="B100" i="14" s="1"/>
  <c r="D59" i="14"/>
  <c r="G59" i="14" s="1"/>
  <c r="J59" i="14" s="1"/>
  <c r="F59" i="14"/>
  <c r="I59" i="14" s="1"/>
  <c r="C80" i="13"/>
  <c r="F80" i="13"/>
  <c r="L80" i="13" s="1"/>
  <c r="E102" i="13" s="1"/>
  <c r="J80" i="13"/>
  <c r="C102" i="13" s="1"/>
  <c r="J100" i="13"/>
  <c r="D60" i="13"/>
  <c r="G60" i="13" s="1"/>
  <c r="J60" i="13" s="1"/>
  <c r="F60" i="13"/>
  <c r="I60" i="13" s="1"/>
  <c r="I79" i="13"/>
  <c r="B101" i="13" s="1"/>
  <c r="E79" i="13"/>
  <c r="K98" i="13"/>
  <c r="L98" i="13" s="1"/>
  <c r="N98" i="13" s="1"/>
  <c r="G76" i="13"/>
  <c r="K78" i="13"/>
  <c r="D100" i="13" s="1"/>
  <c r="D81" i="13"/>
  <c r="B62" i="13"/>
  <c r="E61" i="13"/>
  <c r="H61" i="13" s="1"/>
  <c r="C61" i="13"/>
  <c r="J98" i="20"/>
  <c r="K96" i="19"/>
  <c r="L96" i="19" s="1"/>
  <c r="N96" i="19" s="1"/>
  <c r="G74" i="19"/>
  <c r="E77" i="20"/>
  <c r="I77" i="20"/>
  <c r="B99" i="20" s="1"/>
  <c r="F58" i="19"/>
  <c r="I58" i="19" s="1"/>
  <c r="D58" i="19"/>
  <c r="G58" i="19" s="1"/>
  <c r="J58" i="19" s="1"/>
  <c r="F58" i="20"/>
  <c r="I58" i="20" s="1"/>
  <c r="D58" i="20"/>
  <c r="G58" i="20" s="1"/>
  <c r="J58" i="20" s="1"/>
  <c r="C78" i="19"/>
  <c r="J78" i="19"/>
  <c r="C100" i="19" s="1"/>
  <c r="F78" i="19"/>
  <c r="L78" i="19" s="1"/>
  <c r="E100" i="19" s="1"/>
  <c r="C78" i="20"/>
  <c r="F78" i="20"/>
  <c r="L78" i="20" s="1"/>
  <c r="E100" i="20" s="1"/>
  <c r="J78" i="20"/>
  <c r="C100" i="20" s="1"/>
  <c r="H97" i="20"/>
  <c r="B79" i="20"/>
  <c r="M100" i="20" s="1"/>
  <c r="C59" i="20"/>
  <c r="B60" i="20"/>
  <c r="D79" i="20"/>
  <c r="E59" i="20"/>
  <c r="H59" i="20" s="1"/>
  <c r="I97" i="20"/>
  <c r="J98" i="19"/>
  <c r="I97" i="19"/>
  <c r="B79" i="19"/>
  <c r="M100" i="19" s="1"/>
  <c r="D79" i="19"/>
  <c r="C59" i="19"/>
  <c r="B60" i="19"/>
  <c r="E59" i="19"/>
  <c r="H59" i="19" s="1"/>
  <c r="I77" i="19"/>
  <c r="B99" i="19" s="1"/>
  <c r="E77" i="19"/>
  <c r="H73" i="20"/>
  <c r="N73" i="20" s="1"/>
  <c r="G95" i="20" s="1"/>
  <c r="M73" i="20"/>
  <c r="F95" i="20" s="1"/>
  <c r="K76" i="19"/>
  <c r="D98" i="19" s="1"/>
  <c r="K76" i="20"/>
  <c r="D98" i="20" s="1"/>
  <c r="H97" i="19"/>
  <c r="L105" i="34" l="1"/>
  <c r="N105" i="34" s="1"/>
  <c r="N81" i="35"/>
  <c r="F103" i="35"/>
  <c r="H82" i="28"/>
  <c r="N76" i="31"/>
  <c r="G98" i="31" s="1"/>
  <c r="D107" i="35"/>
  <c r="H107" i="35" s="1"/>
  <c r="I107" i="35"/>
  <c r="M83" i="35"/>
  <c r="K105" i="35"/>
  <c r="L105" i="35" s="1"/>
  <c r="N105" i="35" s="1"/>
  <c r="D106" i="35"/>
  <c r="H106" i="35" s="1"/>
  <c r="I106" i="35"/>
  <c r="M84" i="35" s="1"/>
  <c r="B81" i="13"/>
  <c r="M102" i="13" s="1"/>
  <c r="H106" i="34"/>
  <c r="K106" i="34" s="1"/>
  <c r="L106" i="34" s="1"/>
  <c r="N106" i="34" s="1"/>
  <c r="N83" i="34"/>
  <c r="G105" i="34" s="1"/>
  <c r="L41" i="34"/>
  <c r="B107" i="34"/>
  <c r="J107" i="34" s="1"/>
  <c r="K85" i="34"/>
  <c r="N74" i="25"/>
  <c r="G96" i="25" s="1"/>
  <c r="K99" i="30"/>
  <c r="L99" i="30" s="1"/>
  <c r="N99" i="30" s="1"/>
  <c r="G75" i="5"/>
  <c r="M75" i="5" s="1"/>
  <c r="F97" i="5" s="1"/>
  <c r="I100" i="30"/>
  <c r="M78" i="30" s="1"/>
  <c r="K100" i="31"/>
  <c r="L100" i="31" s="1"/>
  <c r="N100" i="31" s="1"/>
  <c r="N77" i="31"/>
  <c r="G99" i="31" s="1"/>
  <c r="E62" i="30"/>
  <c r="H61" i="30"/>
  <c r="J81" i="30"/>
  <c r="F61" i="30"/>
  <c r="B81" i="30"/>
  <c r="M102" i="30" s="1"/>
  <c r="B101" i="30"/>
  <c r="J101" i="30" s="1"/>
  <c r="K79" i="30"/>
  <c r="G60" i="30"/>
  <c r="J60" i="30" s="1"/>
  <c r="I60" i="30"/>
  <c r="L80" i="30"/>
  <c r="E102" i="30" s="1"/>
  <c r="C102" i="30"/>
  <c r="I80" i="30"/>
  <c r="H74" i="5"/>
  <c r="N74" i="5" s="1"/>
  <c r="G96" i="5" s="1"/>
  <c r="H101" i="31"/>
  <c r="K101" i="31" s="1"/>
  <c r="L101" i="31" s="1"/>
  <c r="N101" i="31" s="1"/>
  <c r="G83" i="31"/>
  <c r="H83" i="31" s="1"/>
  <c r="J83" i="31"/>
  <c r="B83" i="31"/>
  <c r="M104" i="31" s="1"/>
  <c r="E64" i="31"/>
  <c r="F63" i="31"/>
  <c r="H63" i="31"/>
  <c r="E85" i="31"/>
  <c r="E84" i="31"/>
  <c r="A85" i="31"/>
  <c r="A107" i="31" s="1"/>
  <c r="L82" i="31"/>
  <c r="E104" i="31" s="1"/>
  <c r="C104" i="31"/>
  <c r="I82" i="31"/>
  <c r="D102" i="31"/>
  <c r="H102" i="31" s="1"/>
  <c r="B103" i="31"/>
  <c r="J103" i="31" s="1"/>
  <c r="K81" i="31"/>
  <c r="I62" i="31"/>
  <c r="G62" i="31"/>
  <c r="J62" i="31" s="1"/>
  <c r="G82" i="30"/>
  <c r="H82" i="30" s="1"/>
  <c r="E83" i="30"/>
  <c r="A85" i="30"/>
  <c r="A107" i="30" s="1"/>
  <c r="F99" i="30"/>
  <c r="N77" i="30"/>
  <c r="G99" i="30" s="1"/>
  <c r="F85" i="30"/>
  <c r="F41" i="30"/>
  <c r="C85" i="30"/>
  <c r="F84" i="30"/>
  <c r="C84" i="30"/>
  <c r="E84" i="28"/>
  <c r="A85" i="28"/>
  <c r="A107" i="28" s="1"/>
  <c r="G83" i="28"/>
  <c r="E85" i="28"/>
  <c r="I101" i="27"/>
  <c r="M79" i="27" s="1"/>
  <c r="N77" i="27"/>
  <c r="G99" i="27" s="1"/>
  <c r="K101" i="27"/>
  <c r="A85" i="27"/>
  <c r="A107" i="27" s="1"/>
  <c r="B103" i="27"/>
  <c r="J103" i="27" s="1"/>
  <c r="K81" i="27"/>
  <c r="I62" i="27"/>
  <c r="G62" i="27"/>
  <c r="J62" i="27" s="1"/>
  <c r="G83" i="27"/>
  <c r="H83" i="27" s="1"/>
  <c r="F85" i="27"/>
  <c r="C85" i="27"/>
  <c r="F41" i="27"/>
  <c r="J83" i="27"/>
  <c r="B83" i="27"/>
  <c r="M104" i="27" s="1"/>
  <c r="E64" i="27"/>
  <c r="F63" i="27"/>
  <c r="H63" i="27"/>
  <c r="K100" i="27"/>
  <c r="L100" i="27" s="1"/>
  <c r="N100" i="27" s="1"/>
  <c r="M78" i="27"/>
  <c r="E84" i="27"/>
  <c r="L82" i="27"/>
  <c r="E104" i="27" s="1"/>
  <c r="C104" i="27"/>
  <c r="I82" i="27"/>
  <c r="D102" i="27"/>
  <c r="I102" i="27" s="1"/>
  <c r="I58" i="25"/>
  <c r="G58" i="25"/>
  <c r="J58" i="25" s="1"/>
  <c r="F59" i="25"/>
  <c r="H59" i="25"/>
  <c r="J79" i="25"/>
  <c r="B79" i="25"/>
  <c r="M100" i="25" s="1"/>
  <c r="E60" i="25"/>
  <c r="B99" i="25"/>
  <c r="J99" i="25" s="1"/>
  <c r="K77" i="25"/>
  <c r="C100" i="25"/>
  <c r="L78" i="25"/>
  <c r="E100" i="25" s="1"/>
  <c r="I78" i="25"/>
  <c r="D98" i="25"/>
  <c r="H98" i="25" s="1"/>
  <c r="K98" i="25" s="1"/>
  <c r="H97" i="25"/>
  <c r="F84" i="25"/>
  <c r="C84" i="25"/>
  <c r="G82" i="25"/>
  <c r="H82" i="25" s="1"/>
  <c r="E83" i="25"/>
  <c r="D85" i="25"/>
  <c r="A85" i="25"/>
  <c r="A107" i="25" s="1"/>
  <c r="L96" i="24"/>
  <c r="N96" i="24" s="1"/>
  <c r="N74" i="24"/>
  <c r="G96" i="24" s="1"/>
  <c r="H97" i="24"/>
  <c r="K97" i="24" s="1"/>
  <c r="L97" i="24" s="1"/>
  <c r="N97" i="24" s="1"/>
  <c r="I58" i="24"/>
  <c r="G58" i="24"/>
  <c r="J58" i="24" s="1"/>
  <c r="D98" i="24"/>
  <c r="I98" i="24" s="1"/>
  <c r="I78" i="24"/>
  <c r="C100" i="24"/>
  <c r="L78" i="24"/>
  <c r="E100" i="24" s="1"/>
  <c r="B99" i="24"/>
  <c r="J99" i="24" s="1"/>
  <c r="K77" i="24"/>
  <c r="J79" i="24"/>
  <c r="B79" i="24"/>
  <c r="M100" i="24" s="1"/>
  <c r="F59" i="24"/>
  <c r="E60" i="24"/>
  <c r="H59" i="24"/>
  <c r="F84" i="24"/>
  <c r="C84" i="24"/>
  <c r="G82" i="24"/>
  <c r="H82" i="24" s="1"/>
  <c r="A85" i="24"/>
  <c r="A107" i="24" s="1"/>
  <c r="C85" i="24"/>
  <c r="F85" i="24"/>
  <c r="F41" i="24"/>
  <c r="E83" i="24"/>
  <c r="G75" i="17"/>
  <c r="M75" i="17" s="1"/>
  <c r="F97" i="17" s="1"/>
  <c r="G73" i="17"/>
  <c r="M73" i="17" s="1"/>
  <c r="F95" i="17" s="1"/>
  <c r="I96" i="16"/>
  <c r="H98" i="17"/>
  <c r="K98" i="17" s="1"/>
  <c r="J97" i="16"/>
  <c r="D58" i="17"/>
  <c r="G58" i="17" s="1"/>
  <c r="J58" i="17" s="1"/>
  <c r="F58" i="17"/>
  <c r="I58" i="17" s="1"/>
  <c r="C78" i="17"/>
  <c r="F78" i="17"/>
  <c r="L78" i="17" s="1"/>
  <c r="E100" i="17" s="1"/>
  <c r="J78" i="17"/>
  <c r="C100" i="17" s="1"/>
  <c r="C58" i="16"/>
  <c r="E58" i="16"/>
  <c r="H58" i="16" s="1"/>
  <c r="D78" i="16"/>
  <c r="B59" i="16"/>
  <c r="B78" i="16"/>
  <c r="M99" i="16" s="1"/>
  <c r="L97" i="17"/>
  <c r="N97" i="17" s="1"/>
  <c r="B98" i="17"/>
  <c r="J98" i="17" s="1"/>
  <c r="K75" i="16"/>
  <c r="D97" i="16" s="1"/>
  <c r="H72" i="16"/>
  <c r="N72" i="16" s="1"/>
  <c r="G94" i="16" s="1"/>
  <c r="J77" i="16"/>
  <c r="C99" i="16" s="1"/>
  <c r="C77" i="16"/>
  <c r="F77" i="16"/>
  <c r="L77" i="16" s="1"/>
  <c r="E99" i="16" s="1"/>
  <c r="D57" i="16"/>
  <c r="G57" i="16" s="1"/>
  <c r="J57" i="16" s="1"/>
  <c r="F57" i="16"/>
  <c r="I57" i="16" s="1"/>
  <c r="I98" i="17"/>
  <c r="E77" i="17"/>
  <c r="K77" i="17" s="1"/>
  <c r="D99" i="17" s="1"/>
  <c r="I77" i="17"/>
  <c r="K95" i="16"/>
  <c r="L95" i="16" s="1"/>
  <c r="N95" i="16" s="1"/>
  <c r="G73" i="16"/>
  <c r="H96" i="16"/>
  <c r="I76" i="16"/>
  <c r="B98" i="16" s="1"/>
  <c r="E76" i="16"/>
  <c r="B60" i="17"/>
  <c r="D79" i="17"/>
  <c r="E59" i="17"/>
  <c r="H59" i="17" s="1"/>
  <c r="B79" i="17"/>
  <c r="M100" i="17" s="1"/>
  <c r="C59" i="17"/>
  <c r="K99" i="9"/>
  <c r="L99" i="9" s="1"/>
  <c r="N99" i="9" s="1"/>
  <c r="H100" i="9"/>
  <c r="I98" i="5"/>
  <c r="L97" i="5"/>
  <c r="N97" i="5" s="1"/>
  <c r="H98" i="5"/>
  <c r="K98" i="5" s="1"/>
  <c r="E59" i="5"/>
  <c r="H59" i="5" s="1"/>
  <c r="B79" i="5"/>
  <c r="M100" i="5" s="1"/>
  <c r="C59" i="5"/>
  <c r="D79" i="5"/>
  <c r="B60" i="5"/>
  <c r="B98" i="5"/>
  <c r="J98" i="5" s="1"/>
  <c r="F78" i="5"/>
  <c r="L78" i="5" s="1"/>
  <c r="E100" i="5" s="1"/>
  <c r="C78" i="5"/>
  <c r="J78" i="5"/>
  <c r="C100" i="5" s="1"/>
  <c r="F58" i="5"/>
  <c r="I58" i="5" s="1"/>
  <c r="D58" i="5"/>
  <c r="G58" i="5" s="1"/>
  <c r="J58" i="5" s="1"/>
  <c r="I77" i="5"/>
  <c r="E77" i="5"/>
  <c r="K77" i="5" s="1"/>
  <c r="D99" i="5" s="1"/>
  <c r="L98" i="6"/>
  <c r="N98" i="6" s="1"/>
  <c r="G76" i="6"/>
  <c r="M76" i="6" s="1"/>
  <c r="F98" i="6" s="1"/>
  <c r="N76" i="9"/>
  <c r="G98" i="9" s="1"/>
  <c r="I99" i="6"/>
  <c r="J100" i="6"/>
  <c r="H75" i="6"/>
  <c r="N75" i="6" s="1"/>
  <c r="G97" i="6" s="1"/>
  <c r="F60" i="6"/>
  <c r="I60" i="6" s="1"/>
  <c r="D60" i="6"/>
  <c r="G60" i="6" s="1"/>
  <c r="J60" i="6" s="1"/>
  <c r="I79" i="6"/>
  <c r="B101" i="6" s="1"/>
  <c r="E79" i="6"/>
  <c r="D81" i="6"/>
  <c r="B62" i="6"/>
  <c r="E61" i="6"/>
  <c r="H61" i="6" s="1"/>
  <c r="B81" i="6"/>
  <c r="M102" i="6" s="1"/>
  <c r="C61" i="6"/>
  <c r="K78" i="6"/>
  <c r="D100" i="6" s="1"/>
  <c r="H99" i="6"/>
  <c r="C80" i="6"/>
  <c r="F80" i="6"/>
  <c r="L80" i="6" s="1"/>
  <c r="E102" i="6" s="1"/>
  <c r="J80" i="6"/>
  <c r="C102" i="6" s="1"/>
  <c r="B102" i="9"/>
  <c r="J102" i="9" s="1"/>
  <c r="K80" i="9"/>
  <c r="E80" i="9"/>
  <c r="G80" i="8"/>
  <c r="H80" i="8" s="1"/>
  <c r="F81" i="9"/>
  <c r="C81" i="9"/>
  <c r="D101" i="9"/>
  <c r="H101" i="9" s="1"/>
  <c r="K101" i="9" s="1"/>
  <c r="E81" i="8"/>
  <c r="D82" i="9"/>
  <c r="B63" i="9"/>
  <c r="C62" i="9"/>
  <c r="D62" i="9" s="1"/>
  <c r="F99" i="9"/>
  <c r="C82" i="8"/>
  <c r="F82" i="8"/>
  <c r="I81" i="9"/>
  <c r="C103" i="9"/>
  <c r="L81" i="9"/>
  <c r="E103" i="9" s="1"/>
  <c r="B64" i="8"/>
  <c r="C63" i="8"/>
  <c r="D63" i="8" s="1"/>
  <c r="D83" i="8"/>
  <c r="I61" i="9"/>
  <c r="G61" i="9"/>
  <c r="J61" i="9" s="1"/>
  <c r="G79" i="9"/>
  <c r="H79" i="9" s="1"/>
  <c r="E63" i="9"/>
  <c r="B82" i="9"/>
  <c r="M103" i="9" s="1"/>
  <c r="H62" i="9"/>
  <c r="J82" i="9"/>
  <c r="F62" i="9"/>
  <c r="J99" i="20"/>
  <c r="G77" i="13"/>
  <c r="M77" i="13" s="1"/>
  <c r="F99" i="13" s="1"/>
  <c r="L99" i="13"/>
  <c r="N99" i="13" s="1"/>
  <c r="H75" i="14"/>
  <c r="N75" i="14" s="1"/>
  <c r="G97" i="14" s="1"/>
  <c r="F80" i="14"/>
  <c r="L80" i="14" s="1"/>
  <c r="E102" i="14" s="1"/>
  <c r="C80" i="14"/>
  <c r="J80" i="14"/>
  <c r="C102" i="14" s="1"/>
  <c r="K78" i="14"/>
  <c r="D100" i="14" s="1"/>
  <c r="B81" i="14"/>
  <c r="M102" i="14" s="1"/>
  <c r="B62" i="14"/>
  <c r="D81" i="14"/>
  <c r="C61" i="14"/>
  <c r="E61" i="14"/>
  <c r="H61" i="14" s="1"/>
  <c r="J100" i="14"/>
  <c r="D60" i="14"/>
  <c r="G60" i="14" s="1"/>
  <c r="J60" i="14" s="1"/>
  <c r="F60" i="14"/>
  <c r="I60" i="14" s="1"/>
  <c r="K98" i="14"/>
  <c r="L98" i="14" s="1"/>
  <c r="N98" i="14" s="1"/>
  <c r="G76" i="14"/>
  <c r="H99" i="14"/>
  <c r="I79" i="14"/>
  <c r="B101" i="14" s="1"/>
  <c r="E79" i="14"/>
  <c r="I99" i="14"/>
  <c r="D82" i="13"/>
  <c r="B63" i="13"/>
  <c r="E62" i="13"/>
  <c r="H62" i="13" s="1"/>
  <c r="C62" i="13"/>
  <c r="J101" i="13"/>
  <c r="C81" i="13"/>
  <c r="J81" i="13"/>
  <c r="C103" i="13" s="1"/>
  <c r="F81" i="13"/>
  <c r="L81" i="13" s="1"/>
  <c r="E103" i="13" s="1"/>
  <c r="I100" i="13"/>
  <c r="F61" i="13"/>
  <c r="I61" i="13" s="1"/>
  <c r="D61" i="13"/>
  <c r="G61" i="13" s="1"/>
  <c r="J61" i="13" s="1"/>
  <c r="H100" i="13"/>
  <c r="K79" i="13"/>
  <c r="D101" i="13" s="1"/>
  <c r="H76" i="13"/>
  <c r="N76" i="13" s="1"/>
  <c r="G98" i="13" s="1"/>
  <c r="M76" i="13"/>
  <c r="F98" i="13" s="1"/>
  <c r="I80" i="13"/>
  <c r="B102" i="13" s="1"/>
  <c r="E80" i="13"/>
  <c r="J99" i="19"/>
  <c r="I98" i="19"/>
  <c r="B80" i="19"/>
  <c r="M101" i="19" s="1"/>
  <c r="D80" i="19"/>
  <c r="C60" i="19"/>
  <c r="B61" i="19"/>
  <c r="E60" i="19"/>
  <c r="H60" i="19" s="1"/>
  <c r="F59" i="20"/>
  <c r="I59" i="20" s="1"/>
  <c r="D59" i="20"/>
  <c r="G59" i="20" s="1"/>
  <c r="J59" i="20" s="1"/>
  <c r="H74" i="20"/>
  <c r="N74" i="20" s="1"/>
  <c r="G96" i="20" s="1"/>
  <c r="H74" i="19"/>
  <c r="N74" i="19" s="1"/>
  <c r="G96" i="19" s="1"/>
  <c r="M74" i="19"/>
  <c r="F96" i="19" s="1"/>
  <c r="K97" i="19"/>
  <c r="L97" i="19" s="1"/>
  <c r="N97" i="19" s="1"/>
  <c r="G75" i="19"/>
  <c r="H98" i="19"/>
  <c r="K77" i="19"/>
  <c r="D99" i="19" s="1"/>
  <c r="F59" i="19"/>
  <c r="I59" i="19" s="1"/>
  <c r="D59" i="19"/>
  <c r="G59" i="19" s="1"/>
  <c r="J59" i="19" s="1"/>
  <c r="H98" i="20"/>
  <c r="C79" i="19"/>
  <c r="F79" i="19"/>
  <c r="L79" i="19" s="1"/>
  <c r="E101" i="19" s="1"/>
  <c r="J79" i="19"/>
  <c r="C101" i="19" s="1"/>
  <c r="J79" i="20"/>
  <c r="C101" i="20" s="1"/>
  <c r="F79" i="20"/>
  <c r="L79" i="20" s="1"/>
  <c r="E101" i="20" s="1"/>
  <c r="C79" i="20"/>
  <c r="I78" i="20"/>
  <c r="B100" i="20" s="1"/>
  <c r="E78" i="20"/>
  <c r="I78" i="19"/>
  <c r="B100" i="19" s="1"/>
  <c r="E78" i="19"/>
  <c r="K77" i="20"/>
  <c r="D99" i="20" s="1"/>
  <c r="I98" i="20"/>
  <c r="C60" i="20"/>
  <c r="D80" i="20"/>
  <c r="E60" i="20"/>
  <c r="H60" i="20" s="1"/>
  <c r="B61" i="20"/>
  <c r="B80" i="20"/>
  <c r="M101" i="20" s="1"/>
  <c r="K97" i="20"/>
  <c r="L97" i="20" s="1"/>
  <c r="N97" i="20" s="1"/>
  <c r="G75" i="20"/>
  <c r="F105" i="35" l="1"/>
  <c r="H83" i="28"/>
  <c r="F106" i="35"/>
  <c r="K106" i="35"/>
  <c r="L106" i="35"/>
  <c r="N106" i="35" s="1"/>
  <c r="M85" i="35"/>
  <c r="K107" i="35"/>
  <c r="L107" i="35"/>
  <c r="N107" i="35" s="1"/>
  <c r="G103" i="35"/>
  <c r="N82" i="35"/>
  <c r="G104" i="35" s="1"/>
  <c r="B82" i="13"/>
  <c r="M103" i="13" s="1"/>
  <c r="M84" i="34"/>
  <c r="N84" i="34" s="1"/>
  <c r="D107" i="34"/>
  <c r="H107" i="34" s="1"/>
  <c r="G106" i="34"/>
  <c r="L100" i="30"/>
  <c r="N100" i="30" s="1"/>
  <c r="I97" i="16"/>
  <c r="H75" i="5"/>
  <c r="N75" i="5" s="1"/>
  <c r="G97" i="5" s="1"/>
  <c r="N78" i="31"/>
  <c r="G100" i="31" s="1"/>
  <c r="M79" i="31"/>
  <c r="F101" i="31" s="1"/>
  <c r="E63" i="30"/>
  <c r="F62" i="30"/>
  <c r="J82" i="30"/>
  <c r="H62" i="30"/>
  <c r="B82" i="30"/>
  <c r="M103" i="30" s="1"/>
  <c r="K80" i="30"/>
  <c r="B102" i="30"/>
  <c r="J102" i="30" s="1"/>
  <c r="I61" i="30"/>
  <c r="G61" i="30"/>
  <c r="J61" i="30" s="1"/>
  <c r="D101" i="30"/>
  <c r="I101" i="30" s="1"/>
  <c r="C103" i="30"/>
  <c r="L81" i="30"/>
  <c r="E103" i="30" s="1"/>
  <c r="I81" i="30"/>
  <c r="I102" i="31"/>
  <c r="M80" i="31" s="1"/>
  <c r="K102" i="31"/>
  <c r="B104" i="31"/>
  <c r="J104" i="31" s="1"/>
  <c r="K82" i="31"/>
  <c r="G85" i="31"/>
  <c r="J85" i="31"/>
  <c r="J84" i="31"/>
  <c r="H64" i="31"/>
  <c r="B84" i="31"/>
  <c r="M105" i="31" s="1"/>
  <c r="F64" i="31"/>
  <c r="D103" i="31"/>
  <c r="H103" i="31" s="1"/>
  <c r="C105" i="31"/>
  <c r="L83" i="31"/>
  <c r="E105" i="31" s="1"/>
  <c r="I83" i="31"/>
  <c r="G84" i="31"/>
  <c r="H84" i="31" s="1"/>
  <c r="I63" i="31"/>
  <c r="G63" i="31"/>
  <c r="J63" i="31" s="1"/>
  <c r="E85" i="30"/>
  <c r="E84" i="30"/>
  <c r="G83" i="30"/>
  <c r="H83" i="30" s="1"/>
  <c r="F100" i="30"/>
  <c r="N78" i="30"/>
  <c r="G84" i="28"/>
  <c r="G85" i="28"/>
  <c r="L101" i="27"/>
  <c r="N101" i="27" s="1"/>
  <c r="H102" i="27"/>
  <c r="K102" i="27" s="1"/>
  <c r="L102" i="27" s="1"/>
  <c r="N102" i="27" s="1"/>
  <c r="N78" i="27"/>
  <c r="G100" i="27" s="1"/>
  <c r="F100" i="27"/>
  <c r="I63" i="27"/>
  <c r="G63" i="27"/>
  <c r="J63" i="27" s="1"/>
  <c r="B104" i="27"/>
  <c r="J104" i="27" s="1"/>
  <c r="K82" i="27"/>
  <c r="G84" i="27"/>
  <c r="H84" i="27" s="1"/>
  <c r="J85" i="27"/>
  <c r="J84" i="27"/>
  <c r="H64" i="27"/>
  <c r="B84" i="27"/>
  <c r="M105" i="27" s="1"/>
  <c r="F64" i="27"/>
  <c r="E85" i="27"/>
  <c r="D103" i="27"/>
  <c r="H103" i="27" s="1"/>
  <c r="F101" i="27"/>
  <c r="M80" i="27"/>
  <c r="C105" i="27"/>
  <c r="L83" i="27"/>
  <c r="E105" i="27" s="1"/>
  <c r="I83" i="27"/>
  <c r="I98" i="25"/>
  <c r="L98" i="25" s="1"/>
  <c r="N98" i="25" s="1"/>
  <c r="K97" i="25"/>
  <c r="L97" i="25" s="1"/>
  <c r="N97" i="25" s="1"/>
  <c r="M75" i="25"/>
  <c r="B100" i="25"/>
  <c r="J100" i="25" s="1"/>
  <c r="K78" i="25"/>
  <c r="E61" i="25"/>
  <c r="J80" i="25"/>
  <c r="H60" i="25"/>
  <c r="F60" i="25"/>
  <c r="B80" i="25"/>
  <c r="M101" i="25" s="1"/>
  <c r="G59" i="25"/>
  <c r="J59" i="25" s="1"/>
  <c r="I59" i="25"/>
  <c r="D99" i="25"/>
  <c r="H99" i="25" s="1"/>
  <c r="C101" i="25"/>
  <c r="L79" i="25"/>
  <c r="E101" i="25" s="1"/>
  <c r="I79" i="25"/>
  <c r="C85" i="25"/>
  <c r="F85" i="25"/>
  <c r="F41" i="25"/>
  <c r="G83" i="25"/>
  <c r="H83" i="25" s="1"/>
  <c r="E84" i="25"/>
  <c r="H98" i="24"/>
  <c r="K98" i="24" s="1"/>
  <c r="L98" i="24" s="1"/>
  <c r="N98" i="24" s="1"/>
  <c r="M75" i="24"/>
  <c r="F97" i="24" s="1"/>
  <c r="G59" i="24"/>
  <c r="J59" i="24" s="1"/>
  <c r="I59" i="24"/>
  <c r="K78" i="24"/>
  <c r="B100" i="24"/>
  <c r="J100" i="24" s="1"/>
  <c r="C101" i="24"/>
  <c r="L79" i="24"/>
  <c r="E101" i="24" s="1"/>
  <c r="I79" i="24"/>
  <c r="E61" i="24"/>
  <c r="J80" i="24"/>
  <c r="H60" i="24"/>
  <c r="F60" i="24"/>
  <c r="B80" i="24"/>
  <c r="M101" i="24" s="1"/>
  <c r="D99" i="24"/>
  <c r="I99" i="24" s="1"/>
  <c r="E84" i="24"/>
  <c r="G83" i="24"/>
  <c r="H83" i="24" s="1"/>
  <c r="E85" i="24"/>
  <c r="H73" i="17"/>
  <c r="N73" i="17" s="1"/>
  <c r="G95" i="17" s="1"/>
  <c r="G76" i="17"/>
  <c r="M76" i="17" s="1"/>
  <c r="F98" i="17" s="1"/>
  <c r="J98" i="16"/>
  <c r="K76" i="16"/>
  <c r="D98" i="16" s="1"/>
  <c r="C78" i="16"/>
  <c r="J78" i="16"/>
  <c r="C100" i="16" s="1"/>
  <c r="F78" i="16"/>
  <c r="L78" i="16" s="1"/>
  <c r="E100" i="16" s="1"/>
  <c r="C79" i="17"/>
  <c r="J79" i="17"/>
  <c r="C101" i="17" s="1"/>
  <c r="F79" i="17"/>
  <c r="L79" i="17" s="1"/>
  <c r="E101" i="17" s="1"/>
  <c r="B99" i="17"/>
  <c r="J99" i="17" s="1"/>
  <c r="E77" i="16"/>
  <c r="I77" i="16"/>
  <c r="B99" i="16" s="1"/>
  <c r="H97" i="16"/>
  <c r="E78" i="17"/>
  <c r="K78" i="17" s="1"/>
  <c r="D100" i="17" s="1"/>
  <c r="I78" i="17"/>
  <c r="L98" i="17"/>
  <c r="N98" i="17" s="1"/>
  <c r="F59" i="17"/>
  <c r="I59" i="17" s="1"/>
  <c r="D59" i="17"/>
  <c r="G59" i="17" s="1"/>
  <c r="J59" i="17" s="1"/>
  <c r="C60" i="17"/>
  <c r="D80" i="17"/>
  <c r="E60" i="17"/>
  <c r="H60" i="17" s="1"/>
  <c r="B61" i="17"/>
  <c r="B80" i="17"/>
  <c r="M101" i="17" s="1"/>
  <c r="K96" i="16"/>
  <c r="L96" i="16" s="1"/>
  <c r="N96" i="16" s="1"/>
  <c r="G74" i="16"/>
  <c r="F58" i="16"/>
  <c r="I58" i="16" s="1"/>
  <c r="D58" i="16"/>
  <c r="G58" i="16" s="1"/>
  <c r="J58" i="16" s="1"/>
  <c r="H99" i="17"/>
  <c r="K99" i="17" s="1"/>
  <c r="I99" i="17"/>
  <c r="H73" i="16"/>
  <c r="N73" i="16" s="1"/>
  <c r="G95" i="16" s="1"/>
  <c r="M73" i="16"/>
  <c r="F95" i="16" s="1"/>
  <c r="B79" i="16"/>
  <c r="M100" i="16" s="1"/>
  <c r="C59" i="16"/>
  <c r="D79" i="16"/>
  <c r="B60" i="16"/>
  <c r="E59" i="16"/>
  <c r="H59" i="16" s="1"/>
  <c r="I100" i="14"/>
  <c r="K100" i="9"/>
  <c r="L100" i="9" s="1"/>
  <c r="N100" i="9" s="1"/>
  <c r="M78" i="9"/>
  <c r="N77" i="9"/>
  <c r="G99" i="9" s="1"/>
  <c r="H99" i="5"/>
  <c r="K99" i="5" s="1"/>
  <c r="G76" i="5"/>
  <c r="M76" i="5" s="1"/>
  <c r="F98" i="5" s="1"/>
  <c r="J79" i="5"/>
  <c r="C101" i="5" s="1"/>
  <c r="C79" i="5"/>
  <c r="F79" i="5"/>
  <c r="L79" i="5" s="1"/>
  <c r="E101" i="5" s="1"/>
  <c r="I99" i="5"/>
  <c r="L98" i="5"/>
  <c r="N98" i="5" s="1"/>
  <c r="D59" i="5"/>
  <c r="G59" i="5" s="1"/>
  <c r="J59" i="5" s="1"/>
  <c r="F59" i="5"/>
  <c r="I59" i="5" s="1"/>
  <c r="B99" i="5"/>
  <c r="J99" i="5" s="1"/>
  <c r="I78" i="5"/>
  <c r="E78" i="5"/>
  <c r="K78" i="5" s="1"/>
  <c r="D100" i="5" s="1"/>
  <c r="C60" i="5"/>
  <c r="E60" i="5"/>
  <c r="H60" i="5" s="1"/>
  <c r="B80" i="5"/>
  <c r="M101" i="5" s="1"/>
  <c r="D80" i="5"/>
  <c r="B61" i="5"/>
  <c r="H76" i="6"/>
  <c r="N76" i="6" s="1"/>
  <c r="G98" i="6" s="1"/>
  <c r="I101" i="9"/>
  <c r="M79" i="9" s="1"/>
  <c r="J101" i="6"/>
  <c r="D61" i="6"/>
  <c r="G61" i="6" s="1"/>
  <c r="J61" i="6" s="1"/>
  <c r="F61" i="6"/>
  <c r="I61" i="6" s="1"/>
  <c r="J81" i="6"/>
  <c r="C103" i="6" s="1"/>
  <c r="F81" i="6"/>
  <c r="L81" i="6" s="1"/>
  <c r="E103" i="6" s="1"/>
  <c r="C81" i="6"/>
  <c r="I100" i="6"/>
  <c r="E80" i="6"/>
  <c r="I80" i="6"/>
  <c r="B102" i="6" s="1"/>
  <c r="K79" i="6"/>
  <c r="D101" i="6" s="1"/>
  <c r="K99" i="6"/>
  <c r="L99" i="6" s="1"/>
  <c r="N99" i="6" s="1"/>
  <c r="G77" i="6"/>
  <c r="H100" i="6"/>
  <c r="B82" i="6"/>
  <c r="M103" i="6" s="1"/>
  <c r="D82" i="6"/>
  <c r="B63" i="6"/>
  <c r="C62" i="6"/>
  <c r="E62" i="6"/>
  <c r="H62" i="6" s="1"/>
  <c r="E81" i="9"/>
  <c r="I82" i="9"/>
  <c r="C104" i="9"/>
  <c r="L82" i="9"/>
  <c r="E104" i="9" s="1"/>
  <c r="C64" i="8"/>
  <c r="D64" i="8" s="1"/>
  <c r="D84" i="8"/>
  <c r="D85" i="8" s="1"/>
  <c r="G81" i="8"/>
  <c r="H81" i="8" s="1"/>
  <c r="D102" i="9"/>
  <c r="I102" i="9" s="1"/>
  <c r="C83" i="8"/>
  <c r="F83" i="8"/>
  <c r="E82" i="8"/>
  <c r="D83" i="9"/>
  <c r="B64" i="9"/>
  <c r="C63" i="9"/>
  <c r="D63" i="9" s="1"/>
  <c r="I62" i="9"/>
  <c r="G62" i="9"/>
  <c r="J62" i="9" s="1"/>
  <c r="B83" i="9"/>
  <c r="M104" i="9" s="1"/>
  <c r="J83" i="9"/>
  <c r="E64" i="9"/>
  <c r="H63" i="9"/>
  <c r="F63" i="9"/>
  <c r="B103" i="9"/>
  <c r="J103" i="9" s="1"/>
  <c r="K81" i="9"/>
  <c r="F82" i="9"/>
  <c r="C82" i="9"/>
  <c r="G80" i="9"/>
  <c r="H80" i="9" s="1"/>
  <c r="I101" i="13"/>
  <c r="H101" i="13"/>
  <c r="K101" i="13" s="1"/>
  <c r="H77" i="13"/>
  <c r="N77" i="13" s="1"/>
  <c r="G99" i="13" s="1"/>
  <c r="H100" i="14"/>
  <c r="K100" i="14" s="1"/>
  <c r="K99" i="14"/>
  <c r="L99" i="14" s="1"/>
  <c r="N99" i="14" s="1"/>
  <c r="G77" i="14"/>
  <c r="D61" i="14"/>
  <c r="G61" i="14" s="1"/>
  <c r="J61" i="14" s="1"/>
  <c r="F61" i="14"/>
  <c r="I61" i="14" s="1"/>
  <c r="J101" i="14"/>
  <c r="M76" i="14"/>
  <c r="F98" i="14" s="1"/>
  <c r="H76" i="14"/>
  <c r="N76" i="14" s="1"/>
  <c r="G98" i="14" s="1"/>
  <c r="C81" i="14"/>
  <c r="J81" i="14"/>
  <c r="C103" i="14" s="1"/>
  <c r="F81" i="14"/>
  <c r="L81" i="14" s="1"/>
  <c r="E103" i="14" s="1"/>
  <c r="E80" i="14"/>
  <c r="I80" i="14"/>
  <c r="B102" i="14" s="1"/>
  <c r="K79" i="14"/>
  <c r="D101" i="14" s="1"/>
  <c r="B63" i="14"/>
  <c r="D82" i="14"/>
  <c r="B82" i="14"/>
  <c r="M103" i="14" s="1"/>
  <c r="C62" i="14"/>
  <c r="E62" i="14"/>
  <c r="H62" i="14" s="1"/>
  <c r="J102" i="13"/>
  <c r="I81" i="13"/>
  <c r="B103" i="13" s="1"/>
  <c r="E81" i="13"/>
  <c r="B83" i="13"/>
  <c r="M104" i="13" s="1"/>
  <c r="D84" i="13"/>
  <c r="D83" i="13"/>
  <c r="E63" i="13"/>
  <c r="H63" i="13" s="1"/>
  <c r="C63" i="13"/>
  <c r="K100" i="13"/>
  <c r="L100" i="13" s="1"/>
  <c r="N100" i="13" s="1"/>
  <c r="G78" i="13"/>
  <c r="C82" i="13"/>
  <c r="F82" i="13"/>
  <c r="L82" i="13" s="1"/>
  <c r="E104" i="13" s="1"/>
  <c r="J82" i="13"/>
  <c r="C104" i="13" s="1"/>
  <c r="K80" i="13"/>
  <c r="D102" i="13" s="1"/>
  <c r="D62" i="13"/>
  <c r="G62" i="13" s="1"/>
  <c r="J62" i="13" s="1"/>
  <c r="F62" i="13"/>
  <c r="I62" i="13" s="1"/>
  <c r="I99" i="20"/>
  <c r="J100" i="19"/>
  <c r="C80" i="20"/>
  <c r="F80" i="20"/>
  <c r="L80" i="20" s="1"/>
  <c r="E102" i="20" s="1"/>
  <c r="J80" i="20"/>
  <c r="C102" i="20" s="1"/>
  <c r="F60" i="20"/>
  <c r="I60" i="20" s="1"/>
  <c r="D60" i="20"/>
  <c r="G60" i="20" s="1"/>
  <c r="J60" i="20" s="1"/>
  <c r="K78" i="19"/>
  <c r="D100" i="19" s="1"/>
  <c r="H75" i="19"/>
  <c r="N75" i="19" s="1"/>
  <c r="G97" i="19" s="1"/>
  <c r="M75" i="19"/>
  <c r="F97" i="19" s="1"/>
  <c r="H75" i="20"/>
  <c r="N75" i="20" s="1"/>
  <c r="G97" i="20" s="1"/>
  <c r="M75" i="20"/>
  <c r="F97" i="20" s="1"/>
  <c r="B81" i="20"/>
  <c r="M102" i="20" s="1"/>
  <c r="E61" i="20"/>
  <c r="H61" i="20" s="1"/>
  <c r="D81" i="20"/>
  <c r="B62" i="20"/>
  <c r="B63" i="20" s="1"/>
  <c r="C61" i="20"/>
  <c r="E79" i="20"/>
  <c r="I79" i="20"/>
  <c r="B101" i="20" s="1"/>
  <c r="I99" i="19"/>
  <c r="B81" i="19"/>
  <c r="M102" i="19" s="1"/>
  <c r="D81" i="19"/>
  <c r="C61" i="19"/>
  <c r="B62" i="19"/>
  <c r="E61" i="19"/>
  <c r="H61" i="19" s="1"/>
  <c r="H99" i="20"/>
  <c r="J100" i="20"/>
  <c r="I79" i="19"/>
  <c r="B101" i="19" s="1"/>
  <c r="E79" i="19"/>
  <c r="H99" i="19"/>
  <c r="F60" i="19"/>
  <c r="I60" i="19" s="1"/>
  <c r="D60" i="19"/>
  <c r="G60" i="19" s="1"/>
  <c r="J60" i="19" s="1"/>
  <c r="K78" i="20"/>
  <c r="D100" i="20" s="1"/>
  <c r="K98" i="20"/>
  <c r="L98" i="20" s="1"/>
  <c r="N98" i="20" s="1"/>
  <c r="G76" i="20"/>
  <c r="K98" i="19"/>
  <c r="L98" i="19" s="1"/>
  <c r="N98" i="19" s="1"/>
  <c r="G76" i="19"/>
  <c r="C80" i="19"/>
  <c r="J80" i="19"/>
  <c r="C102" i="19" s="1"/>
  <c r="F80" i="19"/>
  <c r="L80" i="19" s="1"/>
  <c r="E102" i="19" s="1"/>
  <c r="F107" i="35" l="1"/>
  <c r="C34" i="35"/>
  <c r="C36" i="35"/>
  <c r="I59" i="33" s="1"/>
  <c r="I49" i="22" s="1"/>
  <c r="C33" i="35"/>
  <c r="C38" i="35"/>
  <c r="I60" i="33" s="1"/>
  <c r="J49" i="22" s="1"/>
  <c r="C32" i="35"/>
  <c r="C35" i="35"/>
  <c r="I58" i="33" s="1"/>
  <c r="H49" i="22" s="1"/>
  <c r="C37" i="35"/>
  <c r="N83" i="35"/>
  <c r="H84" i="28"/>
  <c r="H85" i="28" s="1"/>
  <c r="F106" i="34"/>
  <c r="I107" i="34"/>
  <c r="M85" i="34" s="1"/>
  <c r="K107" i="34"/>
  <c r="H101" i="30"/>
  <c r="K101" i="30" s="1"/>
  <c r="L101" i="30" s="1"/>
  <c r="N101" i="30" s="1"/>
  <c r="N79" i="31"/>
  <c r="G101" i="31" s="1"/>
  <c r="B103" i="30"/>
  <c r="J103" i="30" s="1"/>
  <c r="K81" i="30"/>
  <c r="M79" i="30"/>
  <c r="F101" i="30" s="1"/>
  <c r="D102" i="30"/>
  <c r="I102" i="30" s="1"/>
  <c r="G62" i="30"/>
  <c r="J62" i="30" s="1"/>
  <c r="I62" i="30"/>
  <c r="H63" i="30"/>
  <c r="J83" i="30"/>
  <c r="F63" i="30"/>
  <c r="B83" i="30"/>
  <c r="M104" i="30" s="1"/>
  <c r="E64" i="30"/>
  <c r="L82" i="30"/>
  <c r="E104" i="30" s="1"/>
  <c r="C104" i="30"/>
  <c r="I82" i="30"/>
  <c r="L100" i="14"/>
  <c r="N100" i="14" s="1"/>
  <c r="I103" i="31"/>
  <c r="M81" i="31" s="1"/>
  <c r="F103" i="31" s="1"/>
  <c r="H85" i="31"/>
  <c r="L102" i="31"/>
  <c r="N102" i="31" s="1"/>
  <c r="C107" i="31"/>
  <c r="J41" i="31" s="1"/>
  <c r="L85" i="31"/>
  <c r="E107" i="31" s="1"/>
  <c r="H41" i="31"/>
  <c r="I85" i="31"/>
  <c r="D104" i="31"/>
  <c r="H104" i="31" s="1"/>
  <c r="F102" i="31"/>
  <c r="L84" i="31"/>
  <c r="E106" i="31" s="1"/>
  <c r="C106" i="31"/>
  <c r="I84" i="31"/>
  <c r="B105" i="31"/>
  <c r="J105" i="31" s="1"/>
  <c r="K83" i="31"/>
  <c r="K103" i="31"/>
  <c r="I64" i="31"/>
  <c r="G64" i="31"/>
  <c r="J64" i="31" s="1"/>
  <c r="B85" i="31"/>
  <c r="G100" i="30"/>
  <c r="N79" i="30"/>
  <c r="G85" i="30"/>
  <c r="G84" i="30"/>
  <c r="H84" i="30" s="1"/>
  <c r="N79" i="27"/>
  <c r="G101" i="27" s="1"/>
  <c r="K103" i="27"/>
  <c r="C107" i="27"/>
  <c r="J41" i="27" s="1"/>
  <c r="L85" i="27"/>
  <c r="E107" i="27" s="1"/>
  <c r="H41" i="27"/>
  <c r="I85" i="27"/>
  <c r="I103" i="27"/>
  <c r="M81" i="27" s="1"/>
  <c r="G85" i="27"/>
  <c r="H85" i="27" s="1"/>
  <c r="D104" i="27"/>
  <c r="H104" i="27" s="1"/>
  <c r="L84" i="27"/>
  <c r="E106" i="27" s="1"/>
  <c r="C106" i="27"/>
  <c r="I84" i="27"/>
  <c r="B105" i="27"/>
  <c r="J105" i="27" s="1"/>
  <c r="K83" i="27"/>
  <c r="F102" i="27"/>
  <c r="I64" i="27"/>
  <c r="G64" i="27"/>
  <c r="J64" i="27" s="1"/>
  <c r="B85" i="27"/>
  <c r="I99" i="25"/>
  <c r="M77" i="25" s="1"/>
  <c r="F99" i="25" s="1"/>
  <c r="M76" i="25"/>
  <c r="F98" i="25" s="1"/>
  <c r="C102" i="25"/>
  <c r="L80" i="25"/>
  <c r="E102" i="25" s="1"/>
  <c r="I80" i="25"/>
  <c r="D100" i="25"/>
  <c r="I100" i="25" s="1"/>
  <c r="F61" i="25"/>
  <c r="B81" i="25"/>
  <c r="M102" i="25" s="1"/>
  <c r="E62" i="25"/>
  <c r="H61" i="25"/>
  <c r="J81" i="25"/>
  <c r="B101" i="25"/>
  <c r="J101" i="25" s="1"/>
  <c r="K79" i="25"/>
  <c r="K99" i="25"/>
  <c r="I60" i="25"/>
  <c r="G60" i="25"/>
  <c r="J60" i="25" s="1"/>
  <c r="F97" i="25"/>
  <c r="N75" i="25"/>
  <c r="G84" i="25"/>
  <c r="H84" i="25" s="1"/>
  <c r="E85" i="25"/>
  <c r="H99" i="24"/>
  <c r="K99" i="24" s="1"/>
  <c r="L99" i="24" s="1"/>
  <c r="N99" i="24" s="1"/>
  <c r="N75" i="24"/>
  <c r="G97" i="24" s="1"/>
  <c r="M76" i="24"/>
  <c r="G60" i="24"/>
  <c r="J60" i="24" s="1"/>
  <c r="I60" i="24"/>
  <c r="K79" i="24"/>
  <c r="B101" i="24"/>
  <c r="J101" i="24" s="1"/>
  <c r="C102" i="24"/>
  <c r="L80" i="24"/>
  <c r="E102" i="24" s="1"/>
  <c r="I80" i="24"/>
  <c r="B81" i="24"/>
  <c r="M102" i="24" s="1"/>
  <c r="H61" i="24"/>
  <c r="F61" i="24"/>
  <c r="J81" i="24"/>
  <c r="E62" i="24"/>
  <c r="D100" i="24"/>
  <c r="I100" i="24" s="1"/>
  <c r="G84" i="24"/>
  <c r="H84" i="24" s="1"/>
  <c r="G85" i="24"/>
  <c r="H74" i="17"/>
  <c r="H75" i="17" s="1"/>
  <c r="I98" i="16"/>
  <c r="H98" i="16"/>
  <c r="K98" i="16" s="1"/>
  <c r="G77" i="17"/>
  <c r="M77" i="17" s="1"/>
  <c r="F99" i="17" s="1"/>
  <c r="J99" i="16"/>
  <c r="L99" i="17"/>
  <c r="N99" i="17" s="1"/>
  <c r="F79" i="16"/>
  <c r="L79" i="16" s="1"/>
  <c r="E101" i="16" s="1"/>
  <c r="C79" i="16"/>
  <c r="J79" i="16"/>
  <c r="C101" i="16" s="1"/>
  <c r="E61" i="17"/>
  <c r="H61" i="17" s="1"/>
  <c r="D81" i="17"/>
  <c r="C61" i="17"/>
  <c r="B81" i="17"/>
  <c r="M102" i="17" s="1"/>
  <c r="B62" i="17"/>
  <c r="K77" i="16"/>
  <c r="D99" i="16" s="1"/>
  <c r="I78" i="16"/>
  <c r="B100" i="16" s="1"/>
  <c r="E78" i="16"/>
  <c r="I100" i="17"/>
  <c r="D59" i="16"/>
  <c r="G59" i="16" s="1"/>
  <c r="J59" i="16" s="1"/>
  <c r="F59" i="16"/>
  <c r="I59" i="16" s="1"/>
  <c r="M74" i="16"/>
  <c r="F96" i="16" s="1"/>
  <c r="H74" i="16"/>
  <c r="N74" i="16" s="1"/>
  <c r="G96" i="16" s="1"/>
  <c r="K97" i="16"/>
  <c r="L97" i="16" s="1"/>
  <c r="N97" i="16" s="1"/>
  <c r="G75" i="16"/>
  <c r="E79" i="17"/>
  <c r="K79" i="17" s="1"/>
  <c r="D101" i="17" s="1"/>
  <c r="I79" i="17"/>
  <c r="F80" i="17"/>
  <c r="L80" i="17" s="1"/>
  <c r="E102" i="17" s="1"/>
  <c r="C80" i="17"/>
  <c r="J80" i="17"/>
  <c r="C102" i="17" s="1"/>
  <c r="H100" i="17"/>
  <c r="D80" i="16"/>
  <c r="B61" i="16"/>
  <c r="B80" i="16"/>
  <c r="M101" i="16" s="1"/>
  <c r="C60" i="16"/>
  <c r="E60" i="16"/>
  <c r="H60" i="16" s="1"/>
  <c r="D60" i="17"/>
  <c r="G60" i="17" s="1"/>
  <c r="J60" i="17" s="1"/>
  <c r="F60" i="17"/>
  <c r="I60" i="17" s="1"/>
  <c r="B100" i="17"/>
  <c r="J100" i="17" s="1"/>
  <c r="G78" i="14"/>
  <c r="M78" i="14" s="1"/>
  <c r="F100" i="14" s="1"/>
  <c r="N78" i="9"/>
  <c r="G100" i="9" s="1"/>
  <c r="F100" i="9"/>
  <c r="L101" i="9"/>
  <c r="N101" i="9" s="1"/>
  <c r="G77" i="5"/>
  <c r="M77" i="5" s="1"/>
  <c r="F99" i="5" s="1"/>
  <c r="H76" i="5"/>
  <c r="N76" i="5" s="1"/>
  <c r="G98" i="5" s="1"/>
  <c r="H100" i="5"/>
  <c r="K100" i="5" s="1"/>
  <c r="E79" i="5"/>
  <c r="K79" i="5" s="1"/>
  <c r="D101" i="5" s="1"/>
  <c r="I79" i="5"/>
  <c r="B101" i="5" s="1"/>
  <c r="L99" i="5"/>
  <c r="N99" i="5" s="1"/>
  <c r="B62" i="5"/>
  <c r="D81" i="5"/>
  <c r="C61" i="5"/>
  <c r="B81" i="5"/>
  <c r="M102" i="5" s="1"/>
  <c r="E61" i="5"/>
  <c r="H61" i="5" s="1"/>
  <c r="D60" i="5"/>
  <c r="G60" i="5" s="1"/>
  <c r="J60" i="5" s="1"/>
  <c r="F60" i="5"/>
  <c r="I60" i="5" s="1"/>
  <c r="C80" i="5"/>
  <c r="J80" i="5"/>
  <c r="C102" i="5" s="1"/>
  <c r="F80" i="5"/>
  <c r="L80" i="5" s="1"/>
  <c r="E102" i="5" s="1"/>
  <c r="I100" i="5"/>
  <c r="B100" i="5"/>
  <c r="J100" i="5" s="1"/>
  <c r="H102" i="9"/>
  <c r="J102" i="6"/>
  <c r="F62" i="6"/>
  <c r="I62" i="6" s="1"/>
  <c r="D62" i="6"/>
  <c r="G62" i="6" s="1"/>
  <c r="J62" i="6" s="1"/>
  <c r="K100" i="6"/>
  <c r="L100" i="6" s="1"/>
  <c r="N100" i="6" s="1"/>
  <c r="G78" i="6"/>
  <c r="D83" i="6"/>
  <c r="B83" i="6"/>
  <c r="M104" i="6" s="1"/>
  <c r="D84" i="6"/>
  <c r="E63" i="6"/>
  <c r="H63" i="6" s="1"/>
  <c r="C63" i="6"/>
  <c r="F82" i="6"/>
  <c r="L82" i="6" s="1"/>
  <c r="E104" i="6" s="1"/>
  <c r="C82" i="6"/>
  <c r="J82" i="6"/>
  <c r="C104" i="6" s="1"/>
  <c r="H77" i="6"/>
  <c r="N77" i="6" s="1"/>
  <c r="G99" i="6" s="1"/>
  <c r="M77" i="6"/>
  <c r="F99" i="6" s="1"/>
  <c r="I101" i="6"/>
  <c r="E81" i="6"/>
  <c r="I81" i="6"/>
  <c r="B103" i="6" s="1"/>
  <c r="H101" i="6"/>
  <c r="K80" i="6"/>
  <c r="D102" i="6" s="1"/>
  <c r="E82" i="9"/>
  <c r="G63" i="9"/>
  <c r="J63" i="9" s="1"/>
  <c r="I63" i="9"/>
  <c r="C83" i="9"/>
  <c r="F83" i="9"/>
  <c r="E83" i="8"/>
  <c r="K82" i="9"/>
  <c r="B104" i="9"/>
  <c r="J104" i="9" s="1"/>
  <c r="F85" i="8"/>
  <c r="C85" i="8"/>
  <c r="F41" i="8"/>
  <c r="G81" i="9"/>
  <c r="H81" i="9" s="1"/>
  <c r="L83" i="9"/>
  <c r="E105" i="9" s="1"/>
  <c r="I83" i="9"/>
  <c r="C105" i="9"/>
  <c r="D84" i="9"/>
  <c r="D85" i="9" s="1"/>
  <c r="C64" i="9"/>
  <c r="D64" i="9" s="1"/>
  <c r="D103" i="9"/>
  <c r="I103" i="9" s="1"/>
  <c r="J84" i="9"/>
  <c r="J85" i="9" s="1"/>
  <c r="F64" i="9"/>
  <c r="H64" i="9"/>
  <c r="B84" i="9"/>
  <c r="G82" i="8"/>
  <c r="H82" i="8" s="1"/>
  <c r="F84" i="8"/>
  <c r="C84" i="8"/>
  <c r="F101" i="9"/>
  <c r="H100" i="20"/>
  <c r="K100" i="20" s="1"/>
  <c r="L101" i="13"/>
  <c r="N101" i="13" s="1"/>
  <c r="G79" i="13"/>
  <c r="M79" i="13" s="1"/>
  <c r="F101" i="13" s="1"/>
  <c r="H102" i="13"/>
  <c r="K102" i="13" s="1"/>
  <c r="J102" i="14"/>
  <c r="J82" i="14"/>
  <c r="C104" i="14" s="1"/>
  <c r="F82" i="14"/>
  <c r="L82" i="14" s="1"/>
  <c r="E104" i="14" s="1"/>
  <c r="C82" i="14"/>
  <c r="K80" i="14"/>
  <c r="D102" i="14" s="1"/>
  <c r="D84" i="14"/>
  <c r="B83" i="14"/>
  <c r="M104" i="14" s="1"/>
  <c r="D83" i="14"/>
  <c r="E63" i="14"/>
  <c r="H63" i="14" s="1"/>
  <c r="C63" i="14"/>
  <c r="I101" i="14"/>
  <c r="I81" i="14"/>
  <c r="B103" i="14" s="1"/>
  <c r="E81" i="14"/>
  <c r="J103" i="13"/>
  <c r="D62" i="14"/>
  <c r="G62" i="14" s="1"/>
  <c r="J62" i="14" s="1"/>
  <c r="F62" i="14"/>
  <c r="I62" i="14" s="1"/>
  <c r="H101" i="14"/>
  <c r="H77" i="14"/>
  <c r="N77" i="14" s="1"/>
  <c r="G99" i="14" s="1"/>
  <c r="M77" i="14"/>
  <c r="F99" i="14" s="1"/>
  <c r="I82" i="13"/>
  <c r="B104" i="13" s="1"/>
  <c r="E82" i="13"/>
  <c r="F63" i="13"/>
  <c r="I63" i="13" s="1"/>
  <c r="D63" i="13"/>
  <c r="G63" i="13" s="1"/>
  <c r="J63" i="13" s="1"/>
  <c r="C84" i="13"/>
  <c r="F84" i="13"/>
  <c r="L84" i="13" s="1"/>
  <c r="E106" i="13" s="1"/>
  <c r="J84" i="13"/>
  <c r="F40" i="13"/>
  <c r="H78" i="13"/>
  <c r="M78" i="13"/>
  <c r="F100" i="13" s="1"/>
  <c r="I102" i="13"/>
  <c r="B84" i="13"/>
  <c r="K81" i="13"/>
  <c r="D103" i="13" s="1"/>
  <c r="C83" i="13"/>
  <c r="J83" i="13"/>
  <c r="C105" i="13" s="1"/>
  <c r="F83" i="13"/>
  <c r="L83" i="13" s="1"/>
  <c r="E105" i="13" s="1"/>
  <c r="I100" i="20"/>
  <c r="J101" i="19"/>
  <c r="D61" i="20"/>
  <c r="G61" i="20" s="1"/>
  <c r="J61" i="20" s="1"/>
  <c r="F61" i="20"/>
  <c r="I61" i="20" s="1"/>
  <c r="I80" i="20"/>
  <c r="B102" i="20" s="1"/>
  <c r="E80" i="20"/>
  <c r="C81" i="19"/>
  <c r="F81" i="19"/>
  <c r="L81" i="19" s="1"/>
  <c r="E103" i="19" s="1"/>
  <c r="J81" i="19"/>
  <c r="C103" i="19" s="1"/>
  <c r="K79" i="20"/>
  <c r="D101" i="20" s="1"/>
  <c r="I100" i="19"/>
  <c r="I80" i="19"/>
  <c r="B102" i="19" s="1"/>
  <c r="E80" i="19"/>
  <c r="M76" i="20"/>
  <c r="F98" i="20" s="1"/>
  <c r="H76" i="20"/>
  <c r="N76" i="20" s="1"/>
  <c r="G98" i="20" s="1"/>
  <c r="B82" i="19"/>
  <c r="M103" i="19" s="1"/>
  <c r="D82" i="19"/>
  <c r="C62" i="19"/>
  <c r="B63" i="19"/>
  <c r="E62" i="19"/>
  <c r="H62" i="19" s="1"/>
  <c r="H76" i="19"/>
  <c r="N76" i="19" s="1"/>
  <c r="G98" i="19" s="1"/>
  <c r="M76" i="19"/>
  <c r="F98" i="19" s="1"/>
  <c r="K99" i="19"/>
  <c r="L99" i="19" s="1"/>
  <c r="N99" i="19" s="1"/>
  <c r="G77" i="19"/>
  <c r="F61" i="19"/>
  <c r="I61" i="19" s="1"/>
  <c r="D61" i="19"/>
  <c r="G61" i="19" s="1"/>
  <c r="J61" i="19" s="1"/>
  <c r="K99" i="20"/>
  <c r="L99" i="20" s="1"/>
  <c r="N99" i="20" s="1"/>
  <c r="G77" i="20"/>
  <c r="D82" i="20"/>
  <c r="E62" i="20"/>
  <c r="H62" i="20" s="1"/>
  <c r="B82" i="20"/>
  <c r="M103" i="20" s="1"/>
  <c r="C62" i="20"/>
  <c r="K79" i="19"/>
  <c r="D101" i="19" s="1"/>
  <c r="J101" i="20"/>
  <c r="J81" i="20"/>
  <c r="C103" i="20" s="1"/>
  <c r="F81" i="20"/>
  <c r="L81" i="20" s="1"/>
  <c r="E103" i="20" s="1"/>
  <c r="C81" i="20"/>
  <c r="H100" i="19"/>
  <c r="G105" i="35" l="1"/>
  <c r="N84" i="35"/>
  <c r="G78" i="20"/>
  <c r="M78" i="20" s="1"/>
  <c r="F100" i="20" s="1"/>
  <c r="L107" i="34"/>
  <c r="N107" i="34" s="1"/>
  <c r="C38" i="34" s="1"/>
  <c r="I40" i="33" s="1"/>
  <c r="J48" i="22" s="1"/>
  <c r="F107" i="34"/>
  <c r="N85" i="34"/>
  <c r="G107" i="34" s="1"/>
  <c r="L99" i="25"/>
  <c r="N99" i="25" s="1"/>
  <c r="I101" i="5"/>
  <c r="M106" i="31"/>
  <c r="M107" i="31"/>
  <c r="M106" i="13"/>
  <c r="M105" i="13"/>
  <c r="M106" i="27"/>
  <c r="M107" i="27"/>
  <c r="H102" i="30"/>
  <c r="K102" i="30" s="1"/>
  <c r="L102" i="30" s="1"/>
  <c r="N102" i="30" s="1"/>
  <c r="B85" i="9"/>
  <c r="M105" i="9"/>
  <c r="N74" i="17"/>
  <c r="G96" i="17" s="1"/>
  <c r="M77" i="24"/>
  <c r="F99" i="24" s="1"/>
  <c r="N80" i="31"/>
  <c r="G102" i="31" s="1"/>
  <c r="L103" i="31"/>
  <c r="N103" i="31" s="1"/>
  <c r="B104" i="30"/>
  <c r="J104" i="30" s="1"/>
  <c r="K82" i="30"/>
  <c r="D104" i="30" s="1"/>
  <c r="I104" i="30" s="1"/>
  <c r="G63" i="30"/>
  <c r="J63" i="30" s="1"/>
  <c r="I63" i="30"/>
  <c r="I83" i="30"/>
  <c r="L83" i="30"/>
  <c r="E105" i="30" s="1"/>
  <c r="C105" i="30"/>
  <c r="D103" i="30"/>
  <c r="I103" i="30" s="1"/>
  <c r="B84" i="30"/>
  <c r="M105" i="30" s="1"/>
  <c r="F64" i="30"/>
  <c r="J84" i="30"/>
  <c r="J85" i="30" s="1"/>
  <c r="H64" i="30"/>
  <c r="G78" i="5"/>
  <c r="M78" i="5" s="1"/>
  <c r="F100" i="5" s="1"/>
  <c r="L41" i="31"/>
  <c r="I104" i="31"/>
  <c r="M82" i="31" s="1"/>
  <c r="K104" i="31"/>
  <c r="D105" i="31"/>
  <c r="H105" i="31" s="1"/>
  <c r="B107" i="31"/>
  <c r="J107" i="31" s="1"/>
  <c r="K85" i="31"/>
  <c r="B106" i="31"/>
  <c r="J106" i="31" s="1"/>
  <c r="K84" i="31"/>
  <c r="G101" i="30"/>
  <c r="H85" i="30"/>
  <c r="N80" i="27"/>
  <c r="G102" i="27" s="1"/>
  <c r="I104" i="27"/>
  <c r="M82" i="27" s="1"/>
  <c r="L103" i="27"/>
  <c r="N103" i="27" s="1"/>
  <c r="F103" i="27"/>
  <c r="K104" i="27"/>
  <c r="B107" i="27"/>
  <c r="J107" i="27" s="1"/>
  <c r="K85" i="27"/>
  <c r="B106" i="27"/>
  <c r="J106" i="27" s="1"/>
  <c r="K84" i="27"/>
  <c r="L41" i="27"/>
  <c r="D105" i="27"/>
  <c r="I105" i="27" s="1"/>
  <c r="C103" i="25"/>
  <c r="I81" i="25"/>
  <c r="L81" i="25"/>
  <c r="E103" i="25" s="1"/>
  <c r="I61" i="25"/>
  <c r="G61" i="25"/>
  <c r="J61" i="25" s="1"/>
  <c r="D101" i="25"/>
  <c r="I101" i="25" s="1"/>
  <c r="B102" i="25"/>
  <c r="J102" i="25" s="1"/>
  <c r="K80" i="25"/>
  <c r="F62" i="25"/>
  <c r="B82" i="25"/>
  <c r="M103" i="25" s="1"/>
  <c r="E63" i="25"/>
  <c r="J82" i="25"/>
  <c r="H62" i="25"/>
  <c r="G97" i="25"/>
  <c r="N76" i="25"/>
  <c r="H100" i="25"/>
  <c r="G85" i="25"/>
  <c r="H85" i="25" s="1"/>
  <c r="F98" i="24"/>
  <c r="N76" i="24"/>
  <c r="J82" i="24"/>
  <c r="H62" i="24"/>
  <c r="F62" i="24"/>
  <c r="B82" i="24"/>
  <c r="M103" i="24" s="1"/>
  <c r="E63" i="24"/>
  <c r="L81" i="24"/>
  <c r="E103" i="24" s="1"/>
  <c r="C103" i="24"/>
  <c r="I81" i="24"/>
  <c r="B102" i="24"/>
  <c r="J102" i="24" s="1"/>
  <c r="K80" i="24"/>
  <c r="D101" i="24"/>
  <c r="H101" i="24" s="1"/>
  <c r="H100" i="24"/>
  <c r="G61" i="24"/>
  <c r="J61" i="24" s="1"/>
  <c r="I61" i="24"/>
  <c r="H85" i="24"/>
  <c r="J100" i="16"/>
  <c r="G78" i="17"/>
  <c r="M78" i="17" s="1"/>
  <c r="F100" i="17" s="1"/>
  <c r="G76" i="16"/>
  <c r="L98" i="16"/>
  <c r="N98" i="16" s="1"/>
  <c r="K100" i="17"/>
  <c r="L100" i="17" s="1"/>
  <c r="N100" i="17" s="1"/>
  <c r="H101" i="17"/>
  <c r="K101" i="17" s="1"/>
  <c r="I101" i="17"/>
  <c r="M76" i="16"/>
  <c r="F98" i="16" s="1"/>
  <c r="B62" i="16"/>
  <c r="E61" i="16"/>
  <c r="H61" i="16" s="1"/>
  <c r="B81" i="16"/>
  <c r="M102" i="16" s="1"/>
  <c r="C61" i="16"/>
  <c r="D81" i="16"/>
  <c r="E80" i="17"/>
  <c r="K80" i="17" s="1"/>
  <c r="D102" i="17" s="1"/>
  <c r="I80" i="17"/>
  <c r="B102" i="17" s="1"/>
  <c r="H99" i="16"/>
  <c r="C80" i="16"/>
  <c r="F80" i="16"/>
  <c r="L80" i="16" s="1"/>
  <c r="E102" i="16" s="1"/>
  <c r="J80" i="16"/>
  <c r="C102" i="16" s="1"/>
  <c r="M75" i="16"/>
  <c r="F97" i="16" s="1"/>
  <c r="H75" i="16"/>
  <c r="N75" i="16" s="1"/>
  <c r="G97" i="16" s="1"/>
  <c r="I99" i="16"/>
  <c r="F61" i="17"/>
  <c r="I61" i="17" s="1"/>
  <c r="D61" i="17"/>
  <c r="G61" i="17" s="1"/>
  <c r="J61" i="17" s="1"/>
  <c r="I79" i="16"/>
  <c r="B101" i="16" s="1"/>
  <c r="E79" i="16"/>
  <c r="D60" i="16"/>
  <c r="G60" i="16" s="1"/>
  <c r="J60" i="16" s="1"/>
  <c r="F60" i="16"/>
  <c r="I60" i="16" s="1"/>
  <c r="N75" i="17"/>
  <c r="G97" i="17" s="1"/>
  <c r="H76" i="17"/>
  <c r="B101" i="17"/>
  <c r="J101" i="17" s="1"/>
  <c r="K78" i="16"/>
  <c r="D100" i="16" s="1"/>
  <c r="J81" i="17"/>
  <c r="C103" i="17" s="1"/>
  <c r="F81" i="17"/>
  <c r="L81" i="17" s="1"/>
  <c r="E103" i="17" s="1"/>
  <c r="C81" i="17"/>
  <c r="B63" i="17"/>
  <c r="D82" i="17"/>
  <c r="B82" i="17"/>
  <c r="M103" i="17" s="1"/>
  <c r="C62" i="17"/>
  <c r="E62" i="17"/>
  <c r="H62" i="17" s="1"/>
  <c r="N79" i="9"/>
  <c r="G101" i="9" s="1"/>
  <c r="M80" i="9"/>
  <c r="F102" i="9" s="1"/>
  <c r="K102" i="9"/>
  <c r="L102" i="9" s="1"/>
  <c r="N102" i="9" s="1"/>
  <c r="H101" i="5"/>
  <c r="K101" i="5" s="1"/>
  <c r="H77" i="5"/>
  <c r="N77" i="5" s="1"/>
  <c r="G99" i="5" s="1"/>
  <c r="L100" i="5"/>
  <c r="N100" i="5" s="1"/>
  <c r="E80" i="5"/>
  <c r="K80" i="5" s="1"/>
  <c r="D102" i="5" s="1"/>
  <c r="I80" i="5"/>
  <c r="D82" i="5"/>
  <c r="E62" i="5"/>
  <c r="H62" i="5" s="1"/>
  <c r="B63" i="5"/>
  <c r="B82" i="5"/>
  <c r="M103" i="5" s="1"/>
  <c r="C62" i="5"/>
  <c r="J101" i="5"/>
  <c r="D61" i="5"/>
  <c r="G61" i="5" s="1"/>
  <c r="J61" i="5" s="1"/>
  <c r="F61" i="5"/>
  <c r="I61" i="5" s="1"/>
  <c r="C81" i="5"/>
  <c r="F81" i="5"/>
  <c r="L81" i="5" s="1"/>
  <c r="E103" i="5" s="1"/>
  <c r="J81" i="5"/>
  <c r="C103" i="5" s="1"/>
  <c r="B84" i="6"/>
  <c r="H102" i="6"/>
  <c r="K102" i="6" s="1"/>
  <c r="I102" i="6"/>
  <c r="M78" i="6"/>
  <c r="F100" i="6" s="1"/>
  <c r="H78" i="6"/>
  <c r="N78" i="6" s="1"/>
  <c r="G100" i="6" s="1"/>
  <c r="F84" i="6"/>
  <c r="L84" i="6" s="1"/>
  <c r="E106" i="6" s="1"/>
  <c r="J84" i="6"/>
  <c r="C84" i="6"/>
  <c r="F40" i="6"/>
  <c r="K81" i="6"/>
  <c r="D103" i="6" s="1"/>
  <c r="D63" i="6"/>
  <c r="G63" i="6" s="1"/>
  <c r="J63" i="6" s="1"/>
  <c r="F63" i="6"/>
  <c r="I63" i="6" s="1"/>
  <c r="K101" i="6"/>
  <c r="L101" i="6" s="1"/>
  <c r="N101" i="6" s="1"/>
  <c r="G79" i="6"/>
  <c r="J103" i="6"/>
  <c r="E82" i="6"/>
  <c r="I82" i="6"/>
  <c r="B104" i="6" s="1"/>
  <c r="C83" i="6"/>
  <c r="F83" i="6"/>
  <c r="L83" i="6" s="1"/>
  <c r="E105" i="6" s="1"/>
  <c r="J83" i="6"/>
  <c r="C105" i="6" s="1"/>
  <c r="C85" i="9"/>
  <c r="F85" i="9"/>
  <c r="F41" i="9"/>
  <c r="G64" i="9"/>
  <c r="J64" i="9" s="1"/>
  <c r="I64" i="9"/>
  <c r="C84" i="9"/>
  <c r="F84" i="9"/>
  <c r="L84" i="9"/>
  <c r="E106" i="9" s="1"/>
  <c r="C106" i="9"/>
  <c r="I84" i="9"/>
  <c r="E84" i="8"/>
  <c r="H103" i="9"/>
  <c r="K103" i="9" s="1"/>
  <c r="D104" i="9"/>
  <c r="I104" i="9" s="1"/>
  <c r="E83" i="9"/>
  <c r="G82" i="9"/>
  <c r="H82" i="9" s="1"/>
  <c r="I85" i="9"/>
  <c r="C107" i="9"/>
  <c r="J41" i="9" s="1"/>
  <c r="L85" i="9"/>
  <c r="E107" i="9" s="1"/>
  <c r="H41" i="9"/>
  <c r="K83" i="9"/>
  <c r="B105" i="9"/>
  <c r="J105" i="9" s="1"/>
  <c r="E85" i="8"/>
  <c r="G83" i="8"/>
  <c r="H83" i="8" s="1"/>
  <c r="G80" i="13"/>
  <c r="M80" i="13" s="1"/>
  <c r="F102" i="13" s="1"/>
  <c r="J103" i="14"/>
  <c r="H78" i="14"/>
  <c r="N78" i="14" s="1"/>
  <c r="G100" i="14" s="1"/>
  <c r="K81" i="14"/>
  <c r="D103" i="14" s="1"/>
  <c r="F84" i="14"/>
  <c r="L84" i="14" s="1"/>
  <c r="E106" i="14" s="1"/>
  <c r="C84" i="14"/>
  <c r="F40" i="14"/>
  <c r="J84" i="14"/>
  <c r="H102" i="14"/>
  <c r="J104" i="13"/>
  <c r="I102" i="14"/>
  <c r="E82" i="14"/>
  <c r="I82" i="14"/>
  <c r="B104" i="14" s="1"/>
  <c r="D63" i="14"/>
  <c r="G63" i="14" s="1"/>
  <c r="J63" i="14" s="1"/>
  <c r="F63" i="14"/>
  <c r="I63" i="14" s="1"/>
  <c r="K101" i="14"/>
  <c r="L101" i="14" s="1"/>
  <c r="N101" i="14" s="1"/>
  <c r="G79" i="14"/>
  <c r="B84" i="14"/>
  <c r="C83" i="14"/>
  <c r="F83" i="14"/>
  <c r="L83" i="14" s="1"/>
  <c r="E105" i="14" s="1"/>
  <c r="J83" i="14"/>
  <c r="C105" i="14" s="1"/>
  <c r="I83" i="13"/>
  <c r="B105" i="13" s="1"/>
  <c r="E83" i="13"/>
  <c r="I103" i="13"/>
  <c r="C106" i="13"/>
  <c r="J40" i="13" s="1"/>
  <c r="H40" i="13"/>
  <c r="L102" i="13"/>
  <c r="N102" i="13" s="1"/>
  <c r="H103" i="13"/>
  <c r="K82" i="13"/>
  <c r="D104" i="13" s="1"/>
  <c r="N78" i="13"/>
  <c r="G100" i="13" s="1"/>
  <c r="H79" i="13"/>
  <c r="N79" i="13" s="1"/>
  <c r="G101" i="13" s="1"/>
  <c r="E84" i="13"/>
  <c r="I84" i="13"/>
  <c r="B106" i="13" s="1"/>
  <c r="L100" i="20"/>
  <c r="N100" i="20" s="1"/>
  <c r="H101" i="20"/>
  <c r="K101" i="20" s="1"/>
  <c r="J102" i="20"/>
  <c r="I101" i="19"/>
  <c r="H101" i="19"/>
  <c r="J102" i="19"/>
  <c r="F62" i="19"/>
  <c r="I62" i="19" s="1"/>
  <c r="D62" i="19"/>
  <c r="G62" i="19" s="1"/>
  <c r="J62" i="19" s="1"/>
  <c r="M77" i="19"/>
  <c r="F99" i="19" s="1"/>
  <c r="H77" i="19"/>
  <c r="N77" i="19" s="1"/>
  <c r="G99" i="19" s="1"/>
  <c r="K80" i="20"/>
  <c r="D102" i="20" s="1"/>
  <c r="E81" i="20"/>
  <c r="I81" i="20"/>
  <c r="B103" i="20" s="1"/>
  <c r="C82" i="20"/>
  <c r="F82" i="20"/>
  <c r="L82" i="20" s="1"/>
  <c r="E104" i="20" s="1"/>
  <c r="J82" i="20"/>
  <c r="C104" i="20" s="1"/>
  <c r="K80" i="19"/>
  <c r="D102" i="19" s="1"/>
  <c r="F62" i="20"/>
  <c r="I62" i="20" s="1"/>
  <c r="D62" i="20"/>
  <c r="G62" i="20" s="1"/>
  <c r="J62" i="20" s="1"/>
  <c r="H77" i="20"/>
  <c r="M77" i="20"/>
  <c r="F99" i="20" s="1"/>
  <c r="B83" i="19"/>
  <c r="M104" i="19" s="1"/>
  <c r="D83" i="19"/>
  <c r="D84" i="19" s="1"/>
  <c r="C63" i="19"/>
  <c r="E63" i="19"/>
  <c r="H63" i="19" s="1"/>
  <c r="I101" i="20"/>
  <c r="I81" i="19"/>
  <c r="B103" i="19" s="1"/>
  <c r="E81" i="19"/>
  <c r="K100" i="19"/>
  <c r="L100" i="19" s="1"/>
  <c r="N100" i="19" s="1"/>
  <c r="G78" i="19"/>
  <c r="C82" i="19"/>
  <c r="J82" i="19"/>
  <c r="C104" i="19" s="1"/>
  <c r="F82" i="19"/>
  <c r="L82" i="19" s="1"/>
  <c r="E104" i="19" s="1"/>
  <c r="E63" i="20"/>
  <c r="H63" i="20" s="1"/>
  <c r="D84" i="20"/>
  <c r="D83" i="20"/>
  <c r="C63" i="20"/>
  <c r="B83" i="20"/>
  <c r="M104" i="20" s="1"/>
  <c r="G106" i="35" l="1"/>
  <c r="N85" i="35"/>
  <c r="G107" i="35" s="1"/>
  <c r="C37" i="34"/>
  <c r="C33" i="34"/>
  <c r="C35" i="34"/>
  <c r="I38" i="33" s="1"/>
  <c r="H48" i="22" s="1"/>
  <c r="C36" i="34"/>
  <c r="I39" i="33" s="1"/>
  <c r="I48" i="22" s="1"/>
  <c r="C34" i="34"/>
  <c r="C32" i="34"/>
  <c r="I105" i="31"/>
  <c r="M80" i="30"/>
  <c r="H104" i="30"/>
  <c r="M82" i="30" s="1"/>
  <c r="F104" i="30" s="1"/>
  <c r="M106" i="14"/>
  <c r="M105" i="14"/>
  <c r="M106" i="9"/>
  <c r="M107" i="9"/>
  <c r="M106" i="6"/>
  <c r="M105" i="6"/>
  <c r="N81" i="31"/>
  <c r="G103" i="31" s="1"/>
  <c r="L104" i="31"/>
  <c r="N104" i="31" s="1"/>
  <c r="I64" i="30"/>
  <c r="G64" i="30"/>
  <c r="J64" i="30" s="1"/>
  <c r="H41" i="30"/>
  <c r="C107" i="30"/>
  <c r="J41" i="30" s="1"/>
  <c r="L85" i="30"/>
  <c r="E107" i="30" s="1"/>
  <c r="I85" i="30"/>
  <c r="H103" i="30"/>
  <c r="B85" i="30"/>
  <c r="B105" i="30"/>
  <c r="J105" i="30" s="1"/>
  <c r="K83" i="30"/>
  <c r="C106" i="30"/>
  <c r="I84" i="30"/>
  <c r="L84" i="30"/>
  <c r="E106" i="30" s="1"/>
  <c r="K105" i="31"/>
  <c r="L105" i="31" s="1"/>
  <c r="N105" i="31" s="1"/>
  <c r="M83" i="31"/>
  <c r="D106" i="31"/>
  <c r="I106" i="31" s="1"/>
  <c r="F104" i="31"/>
  <c r="D107" i="31"/>
  <c r="H107" i="31" s="1"/>
  <c r="L104" i="27"/>
  <c r="N104" i="27" s="1"/>
  <c r="N81" i="27"/>
  <c r="G103" i="27" s="1"/>
  <c r="H105" i="27"/>
  <c r="M83" i="27" s="1"/>
  <c r="D107" i="27"/>
  <c r="H107" i="27" s="1"/>
  <c r="D106" i="27"/>
  <c r="I106" i="27" s="1"/>
  <c r="F104" i="27"/>
  <c r="K100" i="25"/>
  <c r="L100" i="25" s="1"/>
  <c r="N100" i="25" s="1"/>
  <c r="M78" i="25"/>
  <c r="G98" i="25"/>
  <c r="N77" i="25"/>
  <c r="G99" i="25" s="1"/>
  <c r="B83" i="25"/>
  <c r="M104" i="25" s="1"/>
  <c r="F63" i="25"/>
  <c r="E64" i="25"/>
  <c r="J83" i="25"/>
  <c r="H63" i="25"/>
  <c r="H101" i="25"/>
  <c r="G62" i="25"/>
  <c r="J62" i="25" s="1"/>
  <c r="I62" i="25"/>
  <c r="B103" i="25"/>
  <c r="J103" i="25" s="1"/>
  <c r="K81" i="25"/>
  <c r="L82" i="25"/>
  <c r="E104" i="25" s="1"/>
  <c r="I82" i="25"/>
  <c r="C104" i="25"/>
  <c r="D102" i="25"/>
  <c r="H102" i="25" s="1"/>
  <c r="K102" i="25" s="1"/>
  <c r="I101" i="24"/>
  <c r="M79" i="24" s="1"/>
  <c r="F101" i="24" s="1"/>
  <c r="G98" i="24"/>
  <c r="N77" i="24"/>
  <c r="G99" i="24" s="1"/>
  <c r="D102" i="24"/>
  <c r="I102" i="24" s="1"/>
  <c r="K100" i="24"/>
  <c r="L100" i="24" s="1"/>
  <c r="N100" i="24" s="1"/>
  <c r="M78" i="24"/>
  <c r="H63" i="24"/>
  <c r="F63" i="24"/>
  <c r="E64" i="24"/>
  <c r="B83" i="24"/>
  <c r="M104" i="24" s="1"/>
  <c r="J83" i="24"/>
  <c r="L82" i="24"/>
  <c r="E104" i="24" s="1"/>
  <c r="I82" i="24"/>
  <c r="C104" i="24"/>
  <c r="B103" i="24"/>
  <c r="J103" i="24" s="1"/>
  <c r="K81" i="24"/>
  <c r="K101" i="24"/>
  <c r="I62" i="24"/>
  <c r="G62" i="24"/>
  <c r="J62" i="24" s="1"/>
  <c r="L101" i="17"/>
  <c r="N101" i="17" s="1"/>
  <c r="G79" i="17"/>
  <c r="M79" i="17" s="1"/>
  <c r="F101" i="17" s="1"/>
  <c r="I102" i="17"/>
  <c r="J102" i="17"/>
  <c r="D62" i="17"/>
  <c r="G62" i="17" s="1"/>
  <c r="J62" i="17" s="1"/>
  <c r="F62" i="17"/>
  <c r="I62" i="17" s="1"/>
  <c r="K79" i="16"/>
  <c r="D101" i="16" s="1"/>
  <c r="I80" i="16"/>
  <c r="B102" i="16" s="1"/>
  <c r="E80" i="16"/>
  <c r="J81" i="16"/>
  <c r="C103" i="16" s="1"/>
  <c r="F81" i="16"/>
  <c r="L81" i="16" s="1"/>
  <c r="E103" i="16" s="1"/>
  <c r="C81" i="16"/>
  <c r="D82" i="16"/>
  <c r="B63" i="16"/>
  <c r="C62" i="16"/>
  <c r="B82" i="16"/>
  <c r="M103" i="16" s="1"/>
  <c r="E62" i="16"/>
  <c r="H62" i="16" s="1"/>
  <c r="J82" i="17"/>
  <c r="C104" i="17" s="1"/>
  <c r="C82" i="17"/>
  <c r="F82" i="17"/>
  <c r="L82" i="17" s="1"/>
  <c r="E104" i="17" s="1"/>
  <c r="I100" i="16"/>
  <c r="K99" i="16"/>
  <c r="L99" i="16" s="1"/>
  <c r="N99" i="16" s="1"/>
  <c r="G77" i="16"/>
  <c r="F61" i="16"/>
  <c r="I61" i="16" s="1"/>
  <c r="D61" i="16"/>
  <c r="G61" i="16" s="1"/>
  <c r="J61" i="16" s="1"/>
  <c r="H102" i="17"/>
  <c r="K102" i="17" s="1"/>
  <c r="E63" i="17"/>
  <c r="H63" i="17" s="1"/>
  <c r="C63" i="17"/>
  <c r="B83" i="17"/>
  <c r="M104" i="17" s="1"/>
  <c r="D83" i="17"/>
  <c r="D84" i="17" s="1"/>
  <c r="I81" i="17"/>
  <c r="E81" i="17"/>
  <c r="K81" i="17" s="1"/>
  <c r="D103" i="17" s="1"/>
  <c r="H100" i="16"/>
  <c r="N76" i="17"/>
  <c r="G98" i="17" s="1"/>
  <c r="H77" i="17"/>
  <c r="J101" i="16"/>
  <c r="H76" i="16"/>
  <c r="N76" i="16" s="1"/>
  <c r="G98" i="16" s="1"/>
  <c r="N80" i="9"/>
  <c r="G102" i="9" s="1"/>
  <c r="H78" i="5"/>
  <c r="N78" i="5" s="1"/>
  <c r="G100" i="5" s="1"/>
  <c r="I102" i="5"/>
  <c r="H102" i="5"/>
  <c r="K102" i="5" s="1"/>
  <c r="L101" i="5"/>
  <c r="N101" i="5" s="1"/>
  <c r="G79" i="5"/>
  <c r="H79" i="5" s="1"/>
  <c r="N79" i="5" s="1"/>
  <c r="G101" i="5" s="1"/>
  <c r="L102" i="6"/>
  <c r="N102" i="6" s="1"/>
  <c r="D62" i="5"/>
  <c r="G62" i="5" s="1"/>
  <c r="J62" i="5" s="1"/>
  <c r="F62" i="5"/>
  <c r="I62" i="5" s="1"/>
  <c r="J82" i="5"/>
  <c r="C104" i="5" s="1"/>
  <c r="F82" i="5"/>
  <c r="L82" i="5" s="1"/>
  <c r="E104" i="5" s="1"/>
  <c r="C82" i="5"/>
  <c r="B102" i="5"/>
  <c r="J102" i="5" s="1"/>
  <c r="E81" i="5"/>
  <c r="K81" i="5" s="1"/>
  <c r="D103" i="5" s="1"/>
  <c r="I81" i="5"/>
  <c r="D84" i="5"/>
  <c r="E63" i="5"/>
  <c r="H63" i="5" s="1"/>
  <c r="B83" i="5"/>
  <c r="M104" i="5" s="1"/>
  <c r="C63" i="5"/>
  <c r="D83" i="5"/>
  <c r="I103" i="17"/>
  <c r="H104" i="9"/>
  <c r="G80" i="6"/>
  <c r="M80" i="6" s="1"/>
  <c r="F102" i="6" s="1"/>
  <c r="H103" i="6"/>
  <c r="K103" i="6" s="1"/>
  <c r="I103" i="6"/>
  <c r="K82" i="6"/>
  <c r="D104" i="6" s="1"/>
  <c r="I84" i="6"/>
  <c r="B106" i="6" s="1"/>
  <c r="E84" i="6"/>
  <c r="I83" i="6"/>
  <c r="B105" i="6" s="1"/>
  <c r="E83" i="6"/>
  <c r="C106" i="6"/>
  <c r="J40" i="6" s="1"/>
  <c r="H40" i="6"/>
  <c r="J104" i="6"/>
  <c r="M79" i="6"/>
  <c r="F101" i="6" s="1"/>
  <c r="H79" i="6"/>
  <c r="N79" i="6" s="1"/>
  <c r="G101" i="6" s="1"/>
  <c r="K85" i="9"/>
  <c r="B107" i="9"/>
  <c r="J107" i="9" s="1"/>
  <c r="G85" i="8"/>
  <c r="L41" i="9"/>
  <c r="G83" i="9"/>
  <c r="H83" i="9" s="1"/>
  <c r="L103" i="9"/>
  <c r="N103" i="9" s="1"/>
  <c r="M81" i="9"/>
  <c r="G84" i="8"/>
  <c r="H84" i="8" s="1"/>
  <c r="E84" i="9"/>
  <c r="D105" i="9"/>
  <c r="I105" i="9" s="1"/>
  <c r="B106" i="9"/>
  <c r="J106" i="9" s="1"/>
  <c r="K84" i="9"/>
  <c r="E85" i="9"/>
  <c r="J106" i="13"/>
  <c r="L40" i="13"/>
  <c r="H103" i="14"/>
  <c r="K103" i="14" s="1"/>
  <c r="I83" i="14"/>
  <c r="B105" i="14" s="1"/>
  <c r="E83" i="14"/>
  <c r="I84" i="14"/>
  <c r="B106" i="14" s="1"/>
  <c r="E84" i="14"/>
  <c r="J105" i="13"/>
  <c r="J104" i="14"/>
  <c r="K102" i="14"/>
  <c r="L102" i="14" s="1"/>
  <c r="N102" i="14" s="1"/>
  <c r="G80" i="14"/>
  <c r="I103" i="14"/>
  <c r="K82" i="14"/>
  <c r="D104" i="14" s="1"/>
  <c r="M79" i="14"/>
  <c r="F101" i="14" s="1"/>
  <c r="H79" i="14"/>
  <c r="N79" i="14" s="1"/>
  <c r="G101" i="14" s="1"/>
  <c r="C106" i="14"/>
  <c r="J40" i="14" s="1"/>
  <c r="H40" i="14"/>
  <c r="I104" i="13"/>
  <c r="H80" i="13"/>
  <c r="N80" i="13" s="1"/>
  <c r="G102" i="13" s="1"/>
  <c r="H104" i="13"/>
  <c r="K83" i="13"/>
  <c r="D105" i="13" s="1"/>
  <c r="K103" i="13"/>
  <c r="L103" i="13" s="1"/>
  <c r="N103" i="13" s="1"/>
  <c r="G81" i="13"/>
  <c r="K84" i="13"/>
  <c r="D106" i="13" s="1"/>
  <c r="G79" i="20"/>
  <c r="M79" i="20" s="1"/>
  <c r="F101" i="20" s="1"/>
  <c r="G79" i="19"/>
  <c r="M79" i="19" s="1"/>
  <c r="F101" i="19" s="1"/>
  <c r="L101" i="20"/>
  <c r="N101" i="20" s="1"/>
  <c r="J103" i="19"/>
  <c r="K101" i="19"/>
  <c r="L101" i="19" s="1"/>
  <c r="N101" i="19" s="1"/>
  <c r="I102" i="19"/>
  <c r="H102" i="19"/>
  <c r="K102" i="19" s="1"/>
  <c r="C83" i="19"/>
  <c r="F83" i="19"/>
  <c r="L83" i="19" s="1"/>
  <c r="E105" i="19" s="1"/>
  <c r="J83" i="19"/>
  <c r="C105" i="19" s="1"/>
  <c r="C84" i="20"/>
  <c r="F84" i="20"/>
  <c r="L84" i="20" s="1"/>
  <c r="E106" i="20" s="1"/>
  <c r="J84" i="20"/>
  <c r="F40" i="20"/>
  <c r="K81" i="19"/>
  <c r="D103" i="19" s="1"/>
  <c r="K81" i="20"/>
  <c r="D103" i="20" s="1"/>
  <c r="H102" i="20"/>
  <c r="I82" i="19"/>
  <c r="B104" i="19" s="1"/>
  <c r="E82" i="19"/>
  <c r="B84" i="19"/>
  <c r="F63" i="20"/>
  <c r="I63" i="20" s="1"/>
  <c r="D63" i="20"/>
  <c r="G63" i="20" s="1"/>
  <c r="J63" i="20" s="1"/>
  <c r="B84" i="20"/>
  <c r="M78" i="19"/>
  <c r="F100" i="19" s="1"/>
  <c r="H78" i="19"/>
  <c r="F63" i="19"/>
  <c r="I63" i="19" s="1"/>
  <c r="D63" i="19"/>
  <c r="G63" i="19" s="1"/>
  <c r="J63" i="19" s="1"/>
  <c r="N77" i="20"/>
  <c r="G99" i="20" s="1"/>
  <c r="H78" i="20"/>
  <c r="N78" i="20" s="1"/>
  <c r="G100" i="20" s="1"/>
  <c r="I102" i="20"/>
  <c r="J83" i="20"/>
  <c r="C105" i="20" s="1"/>
  <c r="F83" i="20"/>
  <c r="L83" i="20" s="1"/>
  <c r="E105" i="20" s="1"/>
  <c r="C83" i="20"/>
  <c r="J84" i="19"/>
  <c r="C84" i="19"/>
  <c r="F40" i="19"/>
  <c r="F84" i="19"/>
  <c r="L84" i="19" s="1"/>
  <c r="E106" i="19" s="1"/>
  <c r="I82" i="20"/>
  <c r="B104" i="20" s="1"/>
  <c r="E82" i="20"/>
  <c r="J103" i="20"/>
  <c r="K104" i="30" l="1"/>
  <c r="L104" i="30" s="1"/>
  <c r="N104" i="30" s="1"/>
  <c r="F102" i="30"/>
  <c r="N80" i="30"/>
  <c r="G102" i="30" s="1"/>
  <c r="I101" i="16"/>
  <c r="M107" i="30"/>
  <c r="M106" i="30"/>
  <c r="M106" i="19"/>
  <c r="M105" i="19"/>
  <c r="M106" i="20"/>
  <c r="M105" i="20"/>
  <c r="G80" i="5"/>
  <c r="H80" i="5" s="1"/>
  <c r="N82" i="31"/>
  <c r="G104" i="31" s="1"/>
  <c r="L101" i="24"/>
  <c r="N101" i="24" s="1"/>
  <c r="H106" i="31"/>
  <c r="K106" i="31" s="1"/>
  <c r="L106" i="31" s="1"/>
  <c r="N106" i="31" s="1"/>
  <c r="D105" i="30"/>
  <c r="I105" i="30" s="1"/>
  <c r="K103" i="30"/>
  <c r="L103" i="30" s="1"/>
  <c r="N103" i="30" s="1"/>
  <c r="M81" i="30"/>
  <c r="L41" i="30"/>
  <c r="B107" i="30"/>
  <c r="J107" i="30" s="1"/>
  <c r="K85" i="30"/>
  <c r="K84" i="30"/>
  <c r="D106" i="30" s="1"/>
  <c r="I106" i="30" s="1"/>
  <c r="B106" i="30"/>
  <c r="J106" i="30" s="1"/>
  <c r="L40" i="6"/>
  <c r="I107" i="31"/>
  <c r="M85" i="31" s="1"/>
  <c r="F107" i="31" s="1"/>
  <c r="K107" i="31"/>
  <c r="F105" i="31"/>
  <c r="N82" i="27"/>
  <c r="G104" i="27" s="1"/>
  <c r="K105" i="27"/>
  <c r="L105" i="27" s="1"/>
  <c r="N105" i="27" s="1"/>
  <c r="H106" i="27"/>
  <c r="M84" i="27" s="1"/>
  <c r="I107" i="27"/>
  <c r="M85" i="27" s="1"/>
  <c r="K107" i="27"/>
  <c r="F105" i="27"/>
  <c r="D103" i="25"/>
  <c r="H103" i="25" s="1"/>
  <c r="K103" i="25" s="1"/>
  <c r="K82" i="25"/>
  <c r="B104" i="25"/>
  <c r="J104" i="25" s="1"/>
  <c r="I83" i="25"/>
  <c r="L83" i="25"/>
  <c r="E105" i="25" s="1"/>
  <c r="C105" i="25"/>
  <c r="I102" i="25"/>
  <c r="L102" i="25" s="1"/>
  <c r="N102" i="25" s="1"/>
  <c r="J85" i="25"/>
  <c r="B84" i="25"/>
  <c r="M105" i="25" s="1"/>
  <c r="J84" i="25"/>
  <c r="F64" i="25"/>
  <c r="H64" i="25"/>
  <c r="M79" i="25"/>
  <c r="K101" i="25"/>
  <c r="L101" i="25" s="1"/>
  <c r="N101" i="25" s="1"/>
  <c r="I63" i="25"/>
  <c r="G63" i="25"/>
  <c r="J63" i="25" s="1"/>
  <c r="F100" i="25"/>
  <c r="N78" i="25"/>
  <c r="G100" i="25" s="1"/>
  <c r="L83" i="24"/>
  <c r="E105" i="24" s="1"/>
  <c r="C105" i="24"/>
  <c r="I83" i="24"/>
  <c r="F100" i="24"/>
  <c r="N78" i="24"/>
  <c r="B104" i="24"/>
  <c r="J104" i="24" s="1"/>
  <c r="K82" i="24"/>
  <c r="B84" i="24"/>
  <c r="J85" i="24"/>
  <c r="J84" i="24"/>
  <c r="H64" i="24"/>
  <c r="F64" i="24"/>
  <c r="D103" i="24"/>
  <c r="H103" i="24" s="1"/>
  <c r="I63" i="24"/>
  <c r="G63" i="24"/>
  <c r="J63" i="24" s="1"/>
  <c r="H102" i="24"/>
  <c r="H103" i="17"/>
  <c r="G81" i="17" s="1"/>
  <c r="K100" i="16"/>
  <c r="L100" i="16" s="1"/>
  <c r="N100" i="16" s="1"/>
  <c r="G78" i="16"/>
  <c r="G80" i="17"/>
  <c r="M80" i="17" s="1"/>
  <c r="F102" i="17" s="1"/>
  <c r="N77" i="17"/>
  <c r="G99" i="17" s="1"/>
  <c r="H78" i="17"/>
  <c r="B103" i="17"/>
  <c r="J103" i="17" s="1"/>
  <c r="F63" i="17"/>
  <c r="I63" i="17" s="1"/>
  <c r="D63" i="17"/>
  <c r="G63" i="17" s="1"/>
  <c r="J63" i="17" s="1"/>
  <c r="I81" i="16"/>
  <c r="B103" i="16" s="1"/>
  <c r="E81" i="16"/>
  <c r="K80" i="16"/>
  <c r="D102" i="16" s="1"/>
  <c r="C83" i="17"/>
  <c r="F83" i="17"/>
  <c r="L83" i="17" s="1"/>
  <c r="E105" i="17" s="1"/>
  <c r="J83" i="17"/>
  <c r="C105" i="17" s="1"/>
  <c r="H77" i="16"/>
  <c r="N77" i="16" s="1"/>
  <c r="G99" i="16" s="1"/>
  <c r="M77" i="16"/>
  <c r="F99" i="16" s="1"/>
  <c r="I82" i="17"/>
  <c r="E82" i="17"/>
  <c r="K82" i="17" s="1"/>
  <c r="D104" i="17" s="1"/>
  <c r="F62" i="16"/>
  <c r="I62" i="16" s="1"/>
  <c r="D62" i="16"/>
  <c r="G62" i="16" s="1"/>
  <c r="J62" i="16" s="1"/>
  <c r="B84" i="17"/>
  <c r="E63" i="16"/>
  <c r="H63" i="16" s="1"/>
  <c r="D84" i="16"/>
  <c r="C63" i="16"/>
  <c r="D83" i="16"/>
  <c r="B83" i="16"/>
  <c r="M104" i="16" s="1"/>
  <c r="L102" i="17"/>
  <c r="N102" i="17" s="1"/>
  <c r="F40" i="17"/>
  <c r="J84" i="17"/>
  <c r="F84" i="17"/>
  <c r="L84" i="17" s="1"/>
  <c r="E106" i="17" s="1"/>
  <c r="C84" i="17"/>
  <c r="C82" i="16"/>
  <c r="F82" i="16"/>
  <c r="L82" i="16" s="1"/>
  <c r="E104" i="16" s="1"/>
  <c r="J82" i="16"/>
  <c r="C104" i="16" s="1"/>
  <c r="J102" i="16"/>
  <c r="H101" i="16"/>
  <c r="M82" i="9"/>
  <c r="F104" i="9" s="1"/>
  <c r="K104" i="9"/>
  <c r="L104" i="9" s="1"/>
  <c r="N104" i="9" s="1"/>
  <c r="M79" i="5"/>
  <c r="F101" i="5" s="1"/>
  <c r="H103" i="5"/>
  <c r="K103" i="5" s="1"/>
  <c r="L102" i="5"/>
  <c r="N102" i="5" s="1"/>
  <c r="B84" i="5"/>
  <c r="C83" i="5"/>
  <c r="J83" i="5"/>
  <c r="C105" i="5" s="1"/>
  <c r="F83" i="5"/>
  <c r="L83" i="5" s="1"/>
  <c r="E105" i="5" s="1"/>
  <c r="J84" i="5"/>
  <c r="C84" i="5"/>
  <c r="F84" i="5"/>
  <c r="L84" i="5" s="1"/>
  <c r="E106" i="5" s="1"/>
  <c r="F40" i="5"/>
  <c r="I103" i="5"/>
  <c r="D63" i="5"/>
  <c r="G63" i="5" s="1"/>
  <c r="J63" i="5" s="1"/>
  <c r="F63" i="5"/>
  <c r="I63" i="5" s="1"/>
  <c r="B103" i="5"/>
  <c r="J103" i="5" s="1"/>
  <c r="I82" i="5"/>
  <c r="E82" i="5"/>
  <c r="K82" i="5" s="1"/>
  <c r="D104" i="5" s="1"/>
  <c r="L103" i="6"/>
  <c r="N103" i="6" s="1"/>
  <c r="H105" i="9"/>
  <c r="G81" i="6"/>
  <c r="M81" i="6" s="1"/>
  <c r="F103" i="6" s="1"/>
  <c r="J106" i="6"/>
  <c r="H104" i="6"/>
  <c r="K104" i="6" s="1"/>
  <c r="H80" i="6"/>
  <c r="N80" i="6" s="1"/>
  <c r="G102" i="6" s="1"/>
  <c r="I104" i="6"/>
  <c r="K83" i="6"/>
  <c r="D105" i="6" s="1"/>
  <c r="J105" i="6"/>
  <c r="K84" i="6"/>
  <c r="D106" i="6" s="1"/>
  <c r="G85" i="9"/>
  <c r="D106" i="9"/>
  <c r="I106" i="9" s="1"/>
  <c r="G84" i="9"/>
  <c r="H84" i="9" s="1"/>
  <c r="N81" i="9"/>
  <c r="F103" i="9"/>
  <c r="H85" i="8"/>
  <c r="D107" i="9"/>
  <c r="I107" i="9" s="1"/>
  <c r="L40" i="14"/>
  <c r="L103" i="14"/>
  <c r="N103" i="14" s="1"/>
  <c r="J105" i="14"/>
  <c r="I106" i="13"/>
  <c r="H106" i="13"/>
  <c r="K106" i="13" s="1"/>
  <c r="G81" i="14"/>
  <c r="M81" i="14" s="1"/>
  <c r="F103" i="14" s="1"/>
  <c r="J106" i="14"/>
  <c r="H105" i="13"/>
  <c r="K105" i="13" s="1"/>
  <c r="I104" i="14"/>
  <c r="K84" i="14"/>
  <c r="D106" i="14" s="1"/>
  <c r="K83" i="14"/>
  <c r="D105" i="14" s="1"/>
  <c r="I105" i="13"/>
  <c r="H104" i="14"/>
  <c r="H80" i="14"/>
  <c r="N80" i="14" s="1"/>
  <c r="G102" i="14" s="1"/>
  <c r="M80" i="14"/>
  <c r="F102" i="14" s="1"/>
  <c r="K104" i="13"/>
  <c r="L104" i="13" s="1"/>
  <c r="N104" i="13" s="1"/>
  <c r="G82" i="13"/>
  <c r="H81" i="13"/>
  <c r="N81" i="13" s="1"/>
  <c r="G103" i="13" s="1"/>
  <c r="M81" i="13"/>
  <c r="F103" i="13" s="1"/>
  <c r="H103" i="20"/>
  <c r="K103" i="20" s="1"/>
  <c r="J104" i="20"/>
  <c r="I103" i="20"/>
  <c r="G80" i="19"/>
  <c r="M80" i="19" s="1"/>
  <c r="F102" i="19" s="1"/>
  <c r="I103" i="19"/>
  <c r="H103" i="19"/>
  <c r="K103" i="19" s="1"/>
  <c r="H79" i="20"/>
  <c r="N79" i="20" s="1"/>
  <c r="G101" i="20" s="1"/>
  <c r="L102" i="19"/>
  <c r="N102" i="19" s="1"/>
  <c r="K82" i="20"/>
  <c r="D104" i="20" s="1"/>
  <c r="E84" i="20"/>
  <c r="I84" i="20"/>
  <c r="B106" i="20" s="1"/>
  <c r="J104" i="19"/>
  <c r="K102" i="20"/>
  <c r="L102" i="20" s="1"/>
  <c r="N102" i="20" s="1"/>
  <c r="G80" i="20"/>
  <c r="I83" i="20"/>
  <c r="B105" i="20" s="1"/>
  <c r="E83" i="20"/>
  <c r="N78" i="19"/>
  <c r="G100" i="19" s="1"/>
  <c r="H79" i="19"/>
  <c r="N79" i="19" s="1"/>
  <c r="G101" i="19" s="1"/>
  <c r="K82" i="19"/>
  <c r="D104" i="19" s="1"/>
  <c r="C106" i="20"/>
  <c r="J40" i="20" s="1"/>
  <c r="H40" i="20"/>
  <c r="I83" i="19"/>
  <c r="B105" i="19" s="1"/>
  <c r="E83" i="19"/>
  <c r="E84" i="19"/>
  <c r="I84" i="19"/>
  <c r="B106" i="19" s="1"/>
  <c r="C106" i="19"/>
  <c r="J40" i="19" s="1"/>
  <c r="H40" i="19"/>
  <c r="H106" i="30" l="1"/>
  <c r="M84" i="30" s="1"/>
  <c r="F106" i="30" s="1"/>
  <c r="M80" i="5"/>
  <c r="F102" i="5" s="1"/>
  <c r="M106" i="17"/>
  <c r="M105" i="17"/>
  <c r="N83" i="31"/>
  <c r="G105" i="31" s="1"/>
  <c r="B85" i="24"/>
  <c r="M105" i="24"/>
  <c r="M106" i="5"/>
  <c r="M105" i="5"/>
  <c r="M84" i="31"/>
  <c r="L107" i="31"/>
  <c r="N107" i="31" s="1"/>
  <c r="D107" i="30"/>
  <c r="I107" i="30" s="1"/>
  <c r="F103" i="30"/>
  <c r="N81" i="30"/>
  <c r="H105" i="30"/>
  <c r="N83" i="27"/>
  <c r="G105" i="27" s="1"/>
  <c r="I104" i="5"/>
  <c r="F106" i="31"/>
  <c r="K106" i="27"/>
  <c r="L106" i="27" s="1"/>
  <c r="N106" i="27" s="1"/>
  <c r="L107" i="27"/>
  <c r="N107" i="27" s="1"/>
  <c r="F106" i="27"/>
  <c r="F107" i="27"/>
  <c r="I103" i="25"/>
  <c r="M81" i="25" s="1"/>
  <c r="F103" i="25" s="1"/>
  <c r="I64" i="25"/>
  <c r="G64" i="25"/>
  <c r="J64" i="25" s="1"/>
  <c r="F101" i="25"/>
  <c r="N79" i="25"/>
  <c r="G101" i="25" s="1"/>
  <c r="B85" i="25"/>
  <c r="D104" i="25"/>
  <c r="H104" i="25" s="1"/>
  <c r="I85" i="25"/>
  <c r="L85" i="25"/>
  <c r="E107" i="25" s="1"/>
  <c r="H41" i="25"/>
  <c r="C107" i="25"/>
  <c r="J41" i="25" s="1"/>
  <c r="M80" i="25"/>
  <c r="K83" i="25"/>
  <c r="B105" i="25"/>
  <c r="J105" i="25" s="1"/>
  <c r="L84" i="25"/>
  <c r="E106" i="25" s="1"/>
  <c r="C106" i="25"/>
  <c r="I84" i="25"/>
  <c r="K103" i="24"/>
  <c r="H41" i="24"/>
  <c r="C107" i="24"/>
  <c r="J41" i="24" s="1"/>
  <c r="L85" i="24"/>
  <c r="E107" i="24" s="1"/>
  <c r="I85" i="24"/>
  <c r="I64" i="24"/>
  <c r="G64" i="24"/>
  <c r="J64" i="24" s="1"/>
  <c r="G100" i="24"/>
  <c r="N79" i="24"/>
  <c r="G101" i="24" s="1"/>
  <c r="D104" i="24"/>
  <c r="I104" i="24" s="1"/>
  <c r="K102" i="24"/>
  <c r="L102" i="24" s="1"/>
  <c r="N102" i="24" s="1"/>
  <c r="M80" i="24"/>
  <c r="I103" i="24"/>
  <c r="M81" i="24" s="1"/>
  <c r="L84" i="24"/>
  <c r="E106" i="24" s="1"/>
  <c r="I84" i="24"/>
  <c r="C106" i="24"/>
  <c r="B105" i="24"/>
  <c r="J105" i="24" s="1"/>
  <c r="K83" i="24"/>
  <c r="K103" i="17"/>
  <c r="I104" i="17"/>
  <c r="I102" i="16"/>
  <c r="J103" i="16"/>
  <c r="C106" i="17"/>
  <c r="J40" i="17" s="1"/>
  <c r="H40" i="17"/>
  <c r="F83" i="16"/>
  <c r="L83" i="16" s="1"/>
  <c r="E105" i="16" s="1"/>
  <c r="C83" i="16"/>
  <c r="J83" i="16"/>
  <c r="C105" i="16" s="1"/>
  <c r="K101" i="16"/>
  <c r="L101" i="16" s="1"/>
  <c r="N101" i="16" s="1"/>
  <c r="G79" i="16"/>
  <c r="I82" i="16"/>
  <c r="B104" i="16" s="1"/>
  <c r="E82" i="16"/>
  <c r="F63" i="16"/>
  <c r="I63" i="16" s="1"/>
  <c r="D63" i="16"/>
  <c r="G63" i="16" s="1"/>
  <c r="J63" i="16" s="1"/>
  <c r="B104" i="17"/>
  <c r="J104" i="17" s="1"/>
  <c r="I84" i="17"/>
  <c r="E84" i="17"/>
  <c r="K84" i="17" s="1"/>
  <c r="D106" i="17" s="1"/>
  <c r="H106" i="17" s="1"/>
  <c r="K106" i="17" s="1"/>
  <c r="C84" i="16"/>
  <c r="J84" i="16"/>
  <c r="F40" i="16"/>
  <c r="F84" i="16"/>
  <c r="L84" i="16" s="1"/>
  <c r="E106" i="16" s="1"/>
  <c r="I83" i="17"/>
  <c r="B105" i="17" s="1"/>
  <c r="E83" i="17"/>
  <c r="K83" i="17" s="1"/>
  <c r="D105" i="17" s="1"/>
  <c r="M78" i="16"/>
  <c r="F100" i="16" s="1"/>
  <c r="H78" i="16"/>
  <c r="N78" i="16" s="1"/>
  <c r="G100" i="16" s="1"/>
  <c r="L103" i="17"/>
  <c r="N103" i="17" s="1"/>
  <c r="H104" i="17"/>
  <c r="K104" i="17" s="1"/>
  <c r="B84" i="16"/>
  <c r="H102" i="16"/>
  <c r="K81" i="16"/>
  <c r="D103" i="16" s="1"/>
  <c r="N78" i="17"/>
  <c r="G100" i="17" s="1"/>
  <c r="H79" i="17"/>
  <c r="M83" i="9"/>
  <c r="F105" i="9" s="1"/>
  <c r="K105" i="9"/>
  <c r="L105" i="9" s="1"/>
  <c r="N105" i="9" s="1"/>
  <c r="L103" i="5"/>
  <c r="N103" i="5" s="1"/>
  <c r="H104" i="5"/>
  <c r="K104" i="5" s="1"/>
  <c r="G81" i="5"/>
  <c r="M81" i="5" s="1"/>
  <c r="F103" i="5" s="1"/>
  <c r="H40" i="5"/>
  <c r="C106" i="5"/>
  <c r="J40" i="5" s="1"/>
  <c r="B104" i="5"/>
  <c r="J104" i="5" s="1"/>
  <c r="I84" i="5"/>
  <c r="E84" i="5"/>
  <c r="K84" i="5" s="1"/>
  <c r="D106" i="5" s="1"/>
  <c r="E83" i="5"/>
  <c r="K83" i="5" s="1"/>
  <c r="D105" i="5" s="1"/>
  <c r="I83" i="5"/>
  <c r="I105" i="6"/>
  <c r="H105" i="6"/>
  <c r="K105" i="6" s="1"/>
  <c r="H106" i="9"/>
  <c r="M81" i="17"/>
  <c r="F103" i="17" s="1"/>
  <c r="H85" i="9"/>
  <c r="G82" i="6"/>
  <c r="M82" i="6" s="1"/>
  <c r="F104" i="6" s="1"/>
  <c r="L104" i="6"/>
  <c r="N104" i="6" s="1"/>
  <c r="H81" i="6"/>
  <c r="N81" i="6" s="1"/>
  <c r="G103" i="6" s="1"/>
  <c r="I106" i="6"/>
  <c r="H106" i="6"/>
  <c r="N80" i="5"/>
  <c r="G102" i="5" s="1"/>
  <c r="H107" i="9"/>
  <c r="K107" i="9" s="1"/>
  <c r="G103" i="9"/>
  <c r="N82" i="9"/>
  <c r="G81" i="19"/>
  <c r="M81" i="19" s="1"/>
  <c r="F103" i="19" s="1"/>
  <c r="H105" i="14"/>
  <c r="K105" i="14" s="1"/>
  <c r="L105" i="13"/>
  <c r="N105" i="13" s="1"/>
  <c r="H106" i="14"/>
  <c r="K106" i="14" s="1"/>
  <c r="L106" i="13"/>
  <c r="N106" i="13" s="1"/>
  <c r="I105" i="14"/>
  <c r="G83" i="14" s="1"/>
  <c r="G84" i="13"/>
  <c r="M84" i="13" s="1"/>
  <c r="F106" i="13" s="1"/>
  <c r="I106" i="14"/>
  <c r="H81" i="14"/>
  <c r="N81" i="14" s="1"/>
  <c r="G103" i="14" s="1"/>
  <c r="G83" i="13"/>
  <c r="M83" i="13" s="1"/>
  <c r="F105" i="13" s="1"/>
  <c r="K104" i="14"/>
  <c r="L104" i="14" s="1"/>
  <c r="N104" i="14" s="1"/>
  <c r="G82" i="14"/>
  <c r="M82" i="13"/>
  <c r="F104" i="13" s="1"/>
  <c r="H82" i="13"/>
  <c r="N82" i="13" s="1"/>
  <c r="G104" i="13" s="1"/>
  <c r="G81" i="20"/>
  <c r="M81" i="20" s="1"/>
  <c r="F103" i="20" s="1"/>
  <c r="L103" i="20"/>
  <c r="N103" i="20" s="1"/>
  <c r="H104" i="20"/>
  <c r="I104" i="20"/>
  <c r="L103" i="19"/>
  <c r="N103" i="19" s="1"/>
  <c r="L40" i="20"/>
  <c r="J106" i="19"/>
  <c r="H80" i="19"/>
  <c r="N80" i="19" s="1"/>
  <c r="G102" i="19" s="1"/>
  <c r="I104" i="19"/>
  <c r="L40" i="19"/>
  <c r="H104" i="19"/>
  <c r="K83" i="19"/>
  <c r="D105" i="19" s="1"/>
  <c r="K84" i="19"/>
  <c r="D106" i="19" s="1"/>
  <c r="J105" i="20"/>
  <c r="J105" i="19"/>
  <c r="K83" i="20"/>
  <c r="D105" i="20" s="1"/>
  <c r="H80" i="20"/>
  <c r="M80" i="20"/>
  <c r="F102" i="20" s="1"/>
  <c r="J106" i="20"/>
  <c r="K84" i="20"/>
  <c r="D106" i="20" s="1"/>
  <c r="H81" i="5" l="1"/>
  <c r="N81" i="5" s="1"/>
  <c r="G103" i="5" s="1"/>
  <c r="K106" i="30"/>
  <c r="L106" i="30" s="1"/>
  <c r="N106" i="30" s="1"/>
  <c r="C31" i="13"/>
  <c r="I106" i="17"/>
  <c r="G84" i="17" s="1"/>
  <c r="M84" i="17" s="1"/>
  <c r="F106" i="17" s="1"/>
  <c r="N84" i="31"/>
  <c r="N85" i="31" s="1"/>
  <c r="G107" i="31" s="1"/>
  <c r="M106" i="16"/>
  <c r="M105" i="16"/>
  <c r="C38" i="27"/>
  <c r="I41" i="26" s="1"/>
  <c r="J50" i="22" s="1"/>
  <c r="C32" i="27"/>
  <c r="C33" i="27"/>
  <c r="C36" i="27"/>
  <c r="I40" i="26" s="1"/>
  <c r="I50" i="22" s="1"/>
  <c r="C35" i="27"/>
  <c r="I39" i="26" s="1"/>
  <c r="H50" i="22" s="1"/>
  <c r="C37" i="27"/>
  <c r="C34" i="27"/>
  <c r="M107" i="24"/>
  <c r="M106" i="24"/>
  <c r="L103" i="25"/>
  <c r="N103" i="25" s="1"/>
  <c r="M107" i="25"/>
  <c r="M106" i="25"/>
  <c r="C33" i="31"/>
  <c r="C37" i="31"/>
  <c r="C38" i="31"/>
  <c r="I61" i="29" s="1"/>
  <c r="J53" i="22" s="1"/>
  <c r="C36" i="31"/>
  <c r="I60" i="29" s="1"/>
  <c r="I53" i="22" s="1"/>
  <c r="C35" i="31"/>
  <c r="I59" i="29" s="1"/>
  <c r="H53" i="22" s="1"/>
  <c r="C34" i="31"/>
  <c r="C32" i="31"/>
  <c r="N82" i="30"/>
  <c r="G104" i="30" s="1"/>
  <c r="G103" i="30"/>
  <c r="K105" i="30"/>
  <c r="L105" i="30" s="1"/>
  <c r="N105" i="30" s="1"/>
  <c r="M83" i="30"/>
  <c r="H107" i="30"/>
  <c r="N84" i="27"/>
  <c r="G106" i="27" s="1"/>
  <c r="L105" i="6"/>
  <c r="N105" i="6" s="1"/>
  <c r="G106" i="31"/>
  <c r="I104" i="25"/>
  <c r="M82" i="25" s="1"/>
  <c r="F104" i="25" s="1"/>
  <c r="B106" i="25"/>
  <c r="J106" i="25" s="1"/>
  <c r="K84" i="25"/>
  <c r="D105" i="25"/>
  <c r="H105" i="25" s="1"/>
  <c r="F102" i="25"/>
  <c r="N80" i="25"/>
  <c r="B107" i="25"/>
  <c r="J107" i="25" s="1"/>
  <c r="K85" i="25"/>
  <c r="L41" i="25"/>
  <c r="K104" i="25"/>
  <c r="L103" i="24"/>
  <c r="N103" i="24" s="1"/>
  <c r="H104" i="24"/>
  <c r="F103" i="24"/>
  <c r="D105" i="24"/>
  <c r="I105" i="24" s="1"/>
  <c r="B107" i="24"/>
  <c r="J107" i="24" s="1"/>
  <c r="K85" i="24"/>
  <c r="F102" i="24"/>
  <c r="N80" i="24"/>
  <c r="G102" i="24" s="1"/>
  <c r="B106" i="24"/>
  <c r="J106" i="24" s="1"/>
  <c r="K84" i="24"/>
  <c r="L41" i="24"/>
  <c r="H105" i="17"/>
  <c r="K105" i="17" s="1"/>
  <c r="J105" i="17"/>
  <c r="J104" i="16"/>
  <c r="I105" i="17"/>
  <c r="L40" i="17"/>
  <c r="L104" i="17"/>
  <c r="N104" i="17" s="1"/>
  <c r="G82" i="17"/>
  <c r="M82" i="17" s="1"/>
  <c r="F104" i="17" s="1"/>
  <c r="N79" i="17"/>
  <c r="G101" i="17" s="1"/>
  <c r="H80" i="17"/>
  <c r="B106" i="17"/>
  <c r="J106" i="17" s="1"/>
  <c r="M79" i="16"/>
  <c r="F101" i="16" s="1"/>
  <c r="H79" i="16"/>
  <c r="N79" i="16" s="1"/>
  <c r="G101" i="16" s="1"/>
  <c r="I83" i="16"/>
  <c r="B105" i="16" s="1"/>
  <c r="E83" i="16"/>
  <c r="K102" i="16"/>
  <c r="L102" i="16" s="1"/>
  <c r="N102" i="16" s="1"/>
  <c r="G80" i="16"/>
  <c r="C106" i="16"/>
  <c r="J40" i="16" s="1"/>
  <c r="H40" i="16"/>
  <c r="H103" i="16"/>
  <c r="I84" i="16"/>
  <c r="B106" i="16" s="1"/>
  <c r="E84" i="16"/>
  <c r="K82" i="16"/>
  <c r="D104" i="16" s="1"/>
  <c r="I103" i="16"/>
  <c r="M84" i="9"/>
  <c r="F106" i="9" s="1"/>
  <c r="K106" i="9"/>
  <c r="L106" i="9" s="1"/>
  <c r="N106" i="9" s="1"/>
  <c r="G82" i="5"/>
  <c r="H82" i="5" s="1"/>
  <c r="N82" i="5" s="1"/>
  <c r="G104" i="5" s="1"/>
  <c r="L104" i="5"/>
  <c r="N104" i="5" s="1"/>
  <c r="H106" i="5"/>
  <c r="K106" i="5" s="1"/>
  <c r="I105" i="5"/>
  <c r="H105" i="5"/>
  <c r="K105" i="5" s="1"/>
  <c r="B105" i="5"/>
  <c r="J105" i="5" s="1"/>
  <c r="I106" i="5"/>
  <c r="B106" i="5"/>
  <c r="J106" i="5" s="1"/>
  <c r="L40" i="5"/>
  <c r="G83" i="6"/>
  <c r="M83" i="6" s="1"/>
  <c r="F105" i="6" s="1"/>
  <c r="H82" i="6"/>
  <c r="N82" i="6" s="1"/>
  <c r="G104" i="6" s="1"/>
  <c r="K106" i="6"/>
  <c r="L106" i="6" s="1"/>
  <c r="N106" i="6" s="1"/>
  <c r="G84" i="6"/>
  <c r="L107" i="9"/>
  <c r="N107" i="9" s="1"/>
  <c r="M85" i="9"/>
  <c r="G104" i="9"/>
  <c r="N83" i="9"/>
  <c r="G105" i="9" s="1"/>
  <c r="G82" i="19"/>
  <c r="M82" i="19" s="1"/>
  <c r="F104" i="19" s="1"/>
  <c r="L106" i="14"/>
  <c r="N106" i="14" s="1"/>
  <c r="G84" i="14"/>
  <c r="M84" i="14" s="1"/>
  <c r="F106" i="14" s="1"/>
  <c r="C33" i="13"/>
  <c r="C36" i="13"/>
  <c r="H83" i="13"/>
  <c r="N83" i="13" s="1"/>
  <c r="G105" i="13" s="1"/>
  <c r="C37" i="13"/>
  <c r="I41" i="11" s="1"/>
  <c r="J54" i="22" s="1"/>
  <c r="C34" i="13"/>
  <c r="I39" i="11" s="1"/>
  <c r="H54" i="22" s="1"/>
  <c r="C35" i="13"/>
  <c r="I40" i="11" s="1"/>
  <c r="I54" i="22" s="1"/>
  <c r="C32" i="13"/>
  <c r="L105" i="14"/>
  <c r="N105" i="14" s="1"/>
  <c r="M83" i="14"/>
  <c r="F105" i="14" s="1"/>
  <c r="M82" i="14"/>
  <c r="F104" i="14" s="1"/>
  <c r="H82" i="14"/>
  <c r="N82" i="14" s="1"/>
  <c r="G104" i="14" s="1"/>
  <c r="G82" i="20"/>
  <c r="M82" i="20" s="1"/>
  <c r="F104" i="20" s="1"/>
  <c r="K104" i="20"/>
  <c r="L104" i="20" s="1"/>
  <c r="N104" i="20" s="1"/>
  <c r="H81" i="19"/>
  <c r="N81" i="19" s="1"/>
  <c r="G103" i="19" s="1"/>
  <c r="H105" i="19"/>
  <c r="K105" i="19" s="1"/>
  <c r="K104" i="19"/>
  <c r="L104" i="19" s="1"/>
  <c r="N104" i="19" s="1"/>
  <c r="I105" i="19"/>
  <c r="N80" i="20"/>
  <c r="G102" i="20" s="1"/>
  <c r="H81" i="20"/>
  <c r="H105" i="20"/>
  <c r="I106" i="19"/>
  <c r="I106" i="20"/>
  <c r="I105" i="20"/>
  <c r="H106" i="20"/>
  <c r="H106" i="19"/>
  <c r="L106" i="17" l="1"/>
  <c r="N106" i="17" s="1"/>
  <c r="C31" i="14"/>
  <c r="N85" i="27"/>
  <c r="G107" i="27" s="1"/>
  <c r="C32" i="9"/>
  <c r="C35" i="9"/>
  <c r="C38" i="9"/>
  <c r="C36" i="9"/>
  <c r="C37" i="9"/>
  <c r="C34" i="9"/>
  <c r="C33" i="9"/>
  <c r="G84" i="5"/>
  <c r="C31" i="6"/>
  <c r="C37" i="6"/>
  <c r="K107" i="30"/>
  <c r="L107" i="30" s="1"/>
  <c r="N107" i="30" s="1"/>
  <c r="M85" i="30"/>
  <c r="F107" i="30" s="1"/>
  <c r="F105" i="30"/>
  <c r="N83" i="30"/>
  <c r="L104" i="25"/>
  <c r="N104" i="25" s="1"/>
  <c r="I105" i="25"/>
  <c r="M83" i="25" s="1"/>
  <c r="F105" i="25" s="1"/>
  <c r="D107" i="25"/>
  <c r="I107" i="25" s="1"/>
  <c r="K105" i="25"/>
  <c r="G102" i="25"/>
  <c r="N81" i="25"/>
  <c r="D106" i="25"/>
  <c r="I106" i="25" s="1"/>
  <c r="N81" i="24"/>
  <c r="G103" i="24" s="1"/>
  <c r="H105" i="24"/>
  <c r="K104" i="24"/>
  <c r="L104" i="24" s="1"/>
  <c r="N104" i="24" s="1"/>
  <c r="M82" i="24"/>
  <c r="D107" i="24"/>
  <c r="I107" i="24" s="1"/>
  <c r="D106" i="24"/>
  <c r="I106" i="24" s="1"/>
  <c r="G83" i="17"/>
  <c r="M83" i="17" s="1"/>
  <c r="F105" i="17" s="1"/>
  <c r="L105" i="17"/>
  <c r="N105" i="17" s="1"/>
  <c r="C36" i="17" s="1"/>
  <c r="H104" i="16"/>
  <c r="K104" i="16" s="1"/>
  <c r="J106" i="16"/>
  <c r="L40" i="16"/>
  <c r="I104" i="16"/>
  <c r="G82" i="16" s="1"/>
  <c r="K84" i="16"/>
  <c r="D106" i="16" s="1"/>
  <c r="M80" i="16"/>
  <c r="F102" i="16" s="1"/>
  <c r="H80" i="16"/>
  <c r="N80" i="16" s="1"/>
  <c r="G102" i="16" s="1"/>
  <c r="J105" i="16"/>
  <c r="N80" i="17"/>
  <c r="G102" i="17" s="1"/>
  <c r="H81" i="17"/>
  <c r="K103" i="16"/>
  <c r="L103" i="16" s="1"/>
  <c r="N103" i="16" s="1"/>
  <c r="G81" i="16"/>
  <c r="K83" i="16"/>
  <c r="D105" i="16" s="1"/>
  <c r="M82" i="5"/>
  <c r="F104" i="5" s="1"/>
  <c r="G83" i="5"/>
  <c r="M83" i="5" s="1"/>
  <c r="F105" i="5" s="1"/>
  <c r="L105" i="5"/>
  <c r="N105" i="5" s="1"/>
  <c r="L106" i="5"/>
  <c r="N106" i="5" s="1"/>
  <c r="H83" i="6"/>
  <c r="N83" i="6" s="1"/>
  <c r="G105" i="6" s="1"/>
  <c r="M84" i="6"/>
  <c r="F106" i="6" s="1"/>
  <c r="C35" i="6"/>
  <c r="C33" i="6"/>
  <c r="C34" i="6"/>
  <c r="C32" i="6"/>
  <c r="C36" i="6"/>
  <c r="M84" i="5"/>
  <c r="F106" i="5" s="1"/>
  <c r="N84" i="9"/>
  <c r="G106" i="9" s="1"/>
  <c r="F107" i="9"/>
  <c r="G83" i="19"/>
  <c r="M83" i="19" s="1"/>
  <c r="F105" i="19" s="1"/>
  <c r="C33" i="14"/>
  <c r="C36" i="14"/>
  <c r="H84" i="13"/>
  <c r="N84" i="13" s="1"/>
  <c r="G106" i="13" s="1"/>
  <c r="C35" i="14"/>
  <c r="I61" i="11" s="1"/>
  <c r="I55" i="22" s="1"/>
  <c r="C34" i="14"/>
  <c r="I60" i="11" s="1"/>
  <c r="H55" i="22" s="1"/>
  <c r="C37" i="14"/>
  <c r="I62" i="11" s="1"/>
  <c r="J55" i="22" s="1"/>
  <c r="C32" i="14"/>
  <c r="H83" i="14"/>
  <c r="H82" i="19"/>
  <c r="N82" i="19" s="1"/>
  <c r="G104" i="19" s="1"/>
  <c r="L105" i="19"/>
  <c r="N105" i="19" s="1"/>
  <c r="N81" i="20"/>
  <c r="G103" i="20" s="1"/>
  <c r="H82" i="20"/>
  <c r="N82" i="20" s="1"/>
  <c r="G104" i="20" s="1"/>
  <c r="K106" i="19"/>
  <c r="L106" i="19" s="1"/>
  <c r="N106" i="19" s="1"/>
  <c r="G84" i="19"/>
  <c r="K106" i="20"/>
  <c r="L106" i="20" s="1"/>
  <c r="N106" i="20" s="1"/>
  <c r="G84" i="20"/>
  <c r="K105" i="20"/>
  <c r="L105" i="20" s="1"/>
  <c r="N105" i="20" s="1"/>
  <c r="G83" i="20"/>
  <c r="I58" i="7" l="1"/>
  <c r="I45" i="22" s="1"/>
  <c r="I57" i="7"/>
  <c r="H45" i="22" s="1"/>
  <c r="I59" i="7"/>
  <c r="J45" i="22" s="1"/>
  <c r="C33" i="17"/>
  <c r="L105" i="25"/>
  <c r="N105" i="25" s="1"/>
  <c r="C31" i="19"/>
  <c r="C35" i="17"/>
  <c r="I63" i="15" s="1"/>
  <c r="I59" i="22" s="1"/>
  <c r="C35" i="30"/>
  <c r="I38" i="29" s="1"/>
  <c r="H52" i="22" s="1"/>
  <c r="C37" i="30"/>
  <c r="C34" i="30"/>
  <c r="C38" i="30"/>
  <c r="I40" i="29" s="1"/>
  <c r="J52" i="22" s="1"/>
  <c r="C33" i="30"/>
  <c r="C36" i="30"/>
  <c r="I39" i="29" s="1"/>
  <c r="I52" i="22" s="1"/>
  <c r="C32" i="30"/>
  <c r="C31" i="17"/>
  <c r="C35" i="5"/>
  <c r="I40" i="3" s="1"/>
  <c r="I42" i="22" s="1"/>
  <c r="C31" i="5"/>
  <c r="C37" i="5"/>
  <c r="I41" i="3" s="1"/>
  <c r="J42" i="22" s="1"/>
  <c r="C36" i="5"/>
  <c r="G105" i="30"/>
  <c r="N84" i="30"/>
  <c r="C33" i="5"/>
  <c r="H106" i="24"/>
  <c r="K106" i="24" s="1"/>
  <c r="L106" i="24" s="1"/>
  <c r="N106" i="24" s="1"/>
  <c r="H106" i="25"/>
  <c r="H107" i="25"/>
  <c r="G103" i="25"/>
  <c r="N82" i="25"/>
  <c r="K105" i="24"/>
  <c r="L105" i="24" s="1"/>
  <c r="N105" i="24" s="1"/>
  <c r="M83" i="24"/>
  <c r="F104" i="24"/>
  <c r="N82" i="24"/>
  <c r="G104" i="24" s="1"/>
  <c r="H107" i="24"/>
  <c r="C34" i="17"/>
  <c r="C37" i="17"/>
  <c r="C32" i="17"/>
  <c r="L104" i="16"/>
  <c r="N104" i="16" s="1"/>
  <c r="I105" i="16"/>
  <c r="H105" i="16"/>
  <c r="K105" i="16" s="1"/>
  <c r="I106" i="16"/>
  <c r="N81" i="17"/>
  <c r="G103" i="17" s="1"/>
  <c r="H82" i="17"/>
  <c r="H106" i="16"/>
  <c r="M81" i="16"/>
  <c r="F103" i="16" s="1"/>
  <c r="H81" i="16"/>
  <c r="N81" i="16" s="1"/>
  <c r="G103" i="16" s="1"/>
  <c r="M82" i="16"/>
  <c r="F104" i="16" s="1"/>
  <c r="N85" i="9"/>
  <c r="G107" i="9" s="1"/>
  <c r="C34" i="5"/>
  <c r="I39" i="3" s="1"/>
  <c r="H42" i="22" s="1"/>
  <c r="H83" i="5"/>
  <c r="N83" i="5" s="1"/>
  <c r="G105" i="5" s="1"/>
  <c r="C32" i="5"/>
  <c r="H84" i="6"/>
  <c r="N84" i="6" s="1"/>
  <c r="G106" i="6" s="1"/>
  <c r="I63" i="3"/>
  <c r="J43" i="22" s="1"/>
  <c r="I61" i="3"/>
  <c r="H43" i="22" s="1"/>
  <c r="I62" i="3"/>
  <c r="I43" i="22" s="1"/>
  <c r="N83" i="14"/>
  <c r="G105" i="14" s="1"/>
  <c r="H84" i="14"/>
  <c r="N84" i="14" s="1"/>
  <c r="G106" i="14" s="1"/>
  <c r="H83" i="19"/>
  <c r="N83" i="19" s="1"/>
  <c r="G105" i="19" s="1"/>
  <c r="C34" i="19"/>
  <c r="I39" i="18" s="1"/>
  <c r="H46" i="22" s="1"/>
  <c r="C37" i="19"/>
  <c r="I41" i="18" s="1"/>
  <c r="J46" i="22" s="1"/>
  <c r="C35" i="19"/>
  <c r="I40" i="18" s="1"/>
  <c r="I46" i="22" s="1"/>
  <c r="C36" i="19"/>
  <c r="C33" i="19"/>
  <c r="C32" i="19"/>
  <c r="C31" i="20"/>
  <c r="C36" i="20"/>
  <c r="C32" i="20"/>
  <c r="C35" i="20"/>
  <c r="I62" i="18" s="1"/>
  <c r="I47" i="22" s="1"/>
  <c r="C33" i="20"/>
  <c r="C37" i="20"/>
  <c r="I63" i="18" s="1"/>
  <c r="J47" i="22" s="1"/>
  <c r="C34" i="20"/>
  <c r="I61" i="18" s="1"/>
  <c r="H47" i="22" s="1"/>
  <c r="M84" i="20"/>
  <c r="F106" i="20" s="1"/>
  <c r="M84" i="19"/>
  <c r="F106" i="19" s="1"/>
  <c r="M83" i="20"/>
  <c r="F105" i="20" s="1"/>
  <c r="H83" i="20"/>
  <c r="N83" i="20" s="1"/>
  <c r="G105" i="20" s="1"/>
  <c r="H84" i="19" l="1"/>
  <c r="N84" i="19" s="1"/>
  <c r="G106" i="19" s="1"/>
  <c r="M84" i="24"/>
  <c r="F106" i="24" s="1"/>
  <c r="G106" i="30"/>
  <c r="N85" i="30"/>
  <c r="G107" i="30" s="1"/>
  <c r="M84" i="25"/>
  <c r="K106" i="25"/>
  <c r="L106" i="25" s="1"/>
  <c r="N106" i="25" s="1"/>
  <c r="G104" i="25"/>
  <c r="N83" i="25"/>
  <c r="G105" i="25" s="1"/>
  <c r="K107" i="25"/>
  <c r="L107" i="25" s="1"/>
  <c r="N107" i="25" s="1"/>
  <c r="M85" i="25"/>
  <c r="F105" i="24"/>
  <c r="N83" i="24"/>
  <c r="G105" i="24" s="1"/>
  <c r="M85" i="24"/>
  <c r="F107" i="24" s="1"/>
  <c r="K107" i="24"/>
  <c r="L107" i="24" s="1"/>
  <c r="N107" i="24" s="1"/>
  <c r="I64" i="15"/>
  <c r="J59" i="22" s="1"/>
  <c r="G83" i="16"/>
  <c r="M83" i="16" s="1"/>
  <c r="F105" i="16" s="1"/>
  <c r="I62" i="15"/>
  <c r="H59" i="22" s="1"/>
  <c r="L105" i="16"/>
  <c r="N105" i="16" s="1"/>
  <c r="H82" i="16"/>
  <c r="N82" i="16" s="1"/>
  <c r="G104" i="16" s="1"/>
  <c r="K106" i="16"/>
  <c r="L106" i="16" s="1"/>
  <c r="N106" i="16" s="1"/>
  <c r="G84" i="16"/>
  <c r="N82" i="17"/>
  <c r="G104" i="17" s="1"/>
  <c r="H83" i="17"/>
  <c r="H84" i="5"/>
  <c r="N84" i="5" s="1"/>
  <c r="G106" i="5" s="1"/>
  <c r="H84" i="20"/>
  <c r="N84" i="20" s="1"/>
  <c r="G106" i="20" s="1"/>
  <c r="C31" i="16" l="1"/>
  <c r="C34" i="25"/>
  <c r="C32" i="25"/>
  <c r="C33" i="25"/>
  <c r="C37" i="25"/>
  <c r="C36" i="25"/>
  <c r="C35" i="25"/>
  <c r="C38" i="25"/>
  <c r="C38" i="24"/>
  <c r="C32" i="24"/>
  <c r="C33" i="24"/>
  <c r="C37" i="24"/>
  <c r="C35" i="24"/>
  <c r="C34" i="24"/>
  <c r="C36" i="24"/>
  <c r="H83" i="16"/>
  <c r="N83" i="16" s="1"/>
  <c r="G105" i="16" s="1"/>
  <c r="N84" i="24"/>
  <c r="G106" i="24" s="1"/>
  <c r="F107" i="25"/>
  <c r="F106" i="25"/>
  <c r="N84" i="25"/>
  <c r="G106" i="25" s="1"/>
  <c r="N85" i="24"/>
  <c r="G107" i="24" s="1"/>
  <c r="C35" i="16"/>
  <c r="C33" i="16"/>
  <c r="C37" i="16"/>
  <c r="H84" i="17"/>
  <c r="N84" i="17" s="1"/>
  <c r="G106" i="17" s="1"/>
  <c r="N83" i="17"/>
  <c r="G105" i="17" s="1"/>
  <c r="M84" i="16"/>
  <c r="F106" i="16" s="1"/>
  <c r="H84" i="16"/>
  <c r="N84" i="16" s="1"/>
  <c r="G106" i="16" s="1"/>
  <c r="C32" i="16"/>
  <c r="C34" i="16"/>
  <c r="C36" i="16"/>
  <c r="I41" i="23" l="1"/>
  <c r="J56" i="22" s="1"/>
  <c r="I61" i="23"/>
  <c r="I57" i="22" s="1"/>
  <c r="I40" i="23"/>
  <c r="I56" i="22" s="1"/>
  <c r="I60" i="23"/>
  <c r="H57" i="22" s="1"/>
  <c r="I62" i="23"/>
  <c r="J57" i="22" s="1"/>
  <c r="I39" i="23"/>
  <c r="H56" i="22" s="1"/>
  <c r="N85" i="25"/>
  <c r="G107" i="25" s="1"/>
  <c r="I40" i="15"/>
  <c r="H58" i="22" s="1"/>
  <c r="I41" i="15"/>
  <c r="I58" i="22" s="1"/>
  <c r="I42" i="15"/>
  <c r="J58" i="22" s="1"/>
  <c r="I29" i="7"/>
  <c r="J22" i="22" s="1"/>
  <c r="I27" i="7"/>
  <c r="G22" i="22" s="1"/>
  <c r="E5" i="8" l="1"/>
  <c r="E51" i="8" s="1"/>
  <c r="H51" i="8" s="1"/>
  <c r="F51" i="8" l="1"/>
  <c r="G51" i="8" s="1"/>
  <c r="J51" i="8" s="1"/>
  <c r="J71" i="8"/>
  <c r="I71" i="8" s="1"/>
  <c r="E52" i="8"/>
  <c r="F52" i="8" s="1"/>
  <c r="I51" i="8" l="1"/>
  <c r="C93" i="8"/>
  <c r="H52" i="8"/>
  <c r="L71" i="8"/>
  <c r="E93" i="8" s="1"/>
  <c r="E53" i="8"/>
  <c r="E54" i="8" s="1"/>
  <c r="J72" i="8"/>
  <c r="C94" i="8" s="1"/>
  <c r="B72" i="8"/>
  <c r="M93" i="8" s="1"/>
  <c r="B93" i="8"/>
  <c r="J93" i="8" s="1"/>
  <c r="K71" i="8"/>
  <c r="I52" i="8"/>
  <c r="G52" i="8"/>
  <c r="J52" i="8" s="1"/>
  <c r="J73" i="8" l="1"/>
  <c r="C95" i="8" s="1"/>
  <c r="H53" i="8"/>
  <c r="F53" i="8"/>
  <c r="G53" i="8" s="1"/>
  <c r="J53" i="8" s="1"/>
  <c r="I72" i="8"/>
  <c r="K72" i="8" s="1"/>
  <c r="L72" i="8"/>
  <c r="E94" i="8" s="1"/>
  <c r="B73" i="8"/>
  <c r="E55" i="8"/>
  <c r="F54" i="8"/>
  <c r="J74" i="8"/>
  <c r="H54" i="8"/>
  <c r="I53" i="8"/>
  <c r="D93" i="8"/>
  <c r="I93" i="8" s="1"/>
  <c r="L73" i="8" l="1"/>
  <c r="E95" i="8" s="1"/>
  <c r="I73" i="8"/>
  <c r="B95" i="8" s="1"/>
  <c r="J95" i="8" s="1"/>
  <c r="M94" i="8"/>
  <c r="B74" i="8"/>
  <c r="B75" i="8" s="1"/>
  <c r="B94" i="8"/>
  <c r="J94" i="8" s="1"/>
  <c r="I54" i="8"/>
  <c r="G54" i="8"/>
  <c r="J54" i="8" s="1"/>
  <c r="H93" i="8"/>
  <c r="D94" i="8"/>
  <c r="H94" i="8" s="1"/>
  <c r="F55" i="8"/>
  <c r="J75" i="8"/>
  <c r="E56" i="8"/>
  <c r="H55" i="8"/>
  <c r="I74" i="8"/>
  <c r="C96" i="8"/>
  <c r="L74" i="8"/>
  <c r="E96" i="8" s="1"/>
  <c r="K73" i="8" l="1"/>
  <c r="D95" i="8" s="1"/>
  <c r="H95" i="8" s="1"/>
  <c r="M96" i="8"/>
  <c r="M95" i="8"/>
  <c r="I94" i="8"/>
  <c r="M72" i="8" s="1"/>
  <c r="K94" i="8"/>
  <c r="B96" i="8"/>
  <c r="J96" i="8" s="1"/>
  <c r="K74" i="8"/>
  <c r="C97" i="8"/>
  <c r="L75" i="8"/>
  <c r="E97" i="8" s="1"/>
  <c r="I75" i="8"/>
  <c r="I55" i="8"/>
  <c r="G55" i="8"/>
  <c r="J55" i="8" s="1"/>
  <c r="J76" i="8"/>
  <c r="H56" i="8"/>
  <c r="F56" i="8"/>
  <c r="B76" i="8"/>
  <c r="E57" i="8"/>
  <c r="K93" i="8"/>
  <c r="L93" i="8" s="1"/>
  <c r="N93" i="8" s="1"/>
  <c r="M71" i="8"/>
  <c r="M97" i="8" l="1"/>
  <c r="L94" i="8"/>
  <c r="N94" i="8" s="1"/>
  <c r="K95" i="8"/>
  <c r="D96" i="8"/>
  <c r="I96" i="8" s="1"/>
  <c r="F93" i="8"/>
  <c r="N71" i="8"/>
  <c r="G93" i="8" s="1"/>
  <c r="F57" i="8"/>
  <c r="H57" i="8"/>
  <c r="J77" i="8"/>
  <c r="B77" i="8"/>
  <c r="M98" i="8" s="1"/>
  <c r="E58" i="8"/>
  <c r="L76" i="8"/>
  <c r="E98" i="8" s="1"/>
  <c r="C98" i="8"/>
  <c r="I76" i="8"/>
  <c r="I95" i="8"/>
  <c r="M73" i="8" s="1"/>
  <c r="B97" i="8"/>
  <c r="J97" i="8" s="1"/>
  <c r="K75" i="8"/>
  <c r="G56" i="8"/>
  <c r="J56" i="8" s="1"/>
  <c r="I56" i="8"/>
  <c r="F94" i="8"/>
  <c r="N72" i="8" l="1"/>
  <c r="G94" i="8" s="1"/>
  <c r="L95" i="8"/>
  <c r="N95" i="8" s="1"/>
  <c r="F95" i="8"/>
  <c r="H58" i="8"/>
  <c r="E59" i="8"/>
  <c r="F58" i="8"/>
  <c r="J78" i="8"/>
  <c r="B78" i="8"/>
  <c r="I57" i="8"/>
  <c r="G57" i="8"/>
  <c r="J57" i="8" s="1"/>
  <c r="H96" i="8"/>
  <c r="D97" i="8"/>
  <c r="H97" i="8" s="1"/>
  <c r="B98" i="8"/>
  <c r="J98" i="8" s="1"/>
  <c r="K76" i="8"/>
  <c r="C99" i="8"/>
  <c r="L77" i="8"/>
  <c r="E99" i="8" s="1"/>
  <c r="I77" i="8"/>
  <c r="N73" i="8" l="1"/>
  <c r="G95" i="8" s="1"/>
  <c r="M99" i="8"/>
  <c r="I97" i="8"/>
  <c r="K97" i="8"/>
  <c r="B99" i="8"/>
  <c r="J99" i="8" s="1"/>
  <c r="K77" i="8"/>
  <c r="G58" i="8"/>
  <c r="J58" i="8" s="1"/>
  <c r="I58" i="8"/>
  <c r="H59" i="8"/>
  <c r="F59" i="8"/>
  <c r="B79" i="8"/>
  <c r="M100" i="8" s="1"/>
  <c r="E60" i="8"/>
  <c r="J79" i="8"/>
  <c r="D98" i="8"/>
  <c r="H98" i="8" s="1"/>
  <c r="K96" i="8"/>
  <c r="L96" i="8" s="1"/>
  <c r="N96" i="8" s="1"/>
  <c r="M74" i="8"/>
  <c r="C100" i="8"/>
  <c r="L78" i="8"/>
  <c r="E100" i="8" s="1"/>
  <c r="I78" i="8"/>
  <c r="I98" i="8" l="1"/>
  <c r="M76" i="8" s="1"/>
  <c r="L97" i="8"/>
  <c r="N97" i="8" s="1"/>
  <c r="M75" i="8"/>
  <c r="F97" i="8" s="1"/>
  <c r="I59" i="8"/>
  <c r="G59" i="8"/>
  <c r="J59" i="8" s="1"/>
  <c r="D99" i="8"/>
  <c r="H99" i="8" s="1"/>
  <c r="N74" i="8"/>
  <c r="G96" i="8" s="1"/>
  <c r="F96" i="8"/>
  <c r="K98" i="8"/>
  <c r="C101" i="8"/>
  <c r="I79" i="8"/>
  <c r="L79" i="8"/>
  <c r="E101" i="8" s="1"/>
  <c r="B100" i="8"/>
  <c r="J100" i="8" s="1"/>
  <c r="K78" i="8"/>
  <c r="B80" i="8"/>
  <c r="M101" i="8" s="1"/>
  <c r="H60" i="8"/>
  <c r="F60" i="8"/>
  <c r="J80" i="8"/>
  <c r="E61" i="8"/>
  <c r="N75" i="8" l="1"/>
  <c r="G97" i="8" s="1"/>
  <c r="L98" i="8"/>
  <c r="N98" i="8" s="1"/>
  <c r="K99" i="8"/>
  <c r="I60" i="8"/>
  <c r="G60" i="8"/>
  <c r="J60" i="8" s="1"/>
  <c r="F98" i="8"/>
  <c r="I99" i="8"/>
  <c r="M77" i="8" s="1"/>
  <c r="B81" i="8"/>
  <c r="F61" i="8"/>
  <c r="J81" i="8"/>
  <c r="H61" i="8"/>
  <c r="E62" i="8"/>
  <c r="K79" i="8"/>
  <c r="B101" i="8"/>
  <c r="J101" i="8" s="1"/>
  <c r="L80" i="8"/>
  <c r="E102" i="8" s="1"/>
  <c r="I80" i="8"/>
  <c r="C102" i="8"/>
  <c r="D100" i="8"/>
  <c r="I100" i="8" s="1"/>
  <c r="N76" i="8" l="1"/>
  <c r="G98" i="8" s="1"/>
  <c r="M102" i="8"/>
  <c r="H100" i="8"/>
  <c r="M78" i="8" s="1"/>
  <c r="F100" i="8" s="1"/>
  <c r="L99" i="8"/>
  <c r="N99" i="8" s="1"/>
  <c r="K80" i="8"/>
  <c r="B102" i="8"/>
  <c r="J102" i="8" s="1"/>
  <c r="C103" i="8"/>
  <c r="L81" i="8"/>
  <c r="E103" i="8" s="1"/>
  <c r="I81" i="8"/>
  <c r="F99" i="8"/>
  <c r="I61" i="8"/>
  <c r="G61" i="8"/>
  <c r="J61" i="8" s="1"/>
  <c r="J82" i="8"/>
  <c r="E63" i="8"/>
  <c r="H62" i="8"/>
  <c r="B82" i="8"/>
  <c r="F62" i="8"/>
  <c r="D101" i="8"/>
  <c r="I101" i="8" s="1"/>
  <c r="N77" i="8" l="1"/>
  <c r="G99" i="8" s="1"/>
  <c r="K100" i="8"/>
  <c r="L100" i="8" s="1"/>
  <c r="N100" i="8" s="1"/>
  <c r="M103" i="8"/>
  <c r="B83" i="8"/>
  <c r="J83" i="8"/>
  <c r="E64" i="8"/>
  <c r="H63" i="8"/>
  <c r="F63" i="8"/>
  <c r="K81" i="8"/>
  <c r="B103" i="8"/>
  <c r="J103" i="8" s="1"/>
  <c r="I62" i="8"/>
  <c r="G62" i="8"/>
  <c r="J62" i="8" s="1"/>
  <c r="I82" i="8"/>
  <c r="L82" i="8"/>
  <c r="E104" i="8" s="1"/>
  <c r="C104" i="8"/>
  <c r="D102" i="8"/>
  <c r="H102" i="8" s="1"/>
  <c r="H101" i="8"/>
  <c r="N78" i="8" l="1"/>
  <c r="G100" i="8" s="1"/>
  <c r="M104" i="8"/>
  <c r="I102" i="8"/>
  <c r="M80" i="8" s="1"/>
  <c r="K102" i="8"/>
  <c r="B104" i="8"/>
  <c r="J104" i="8" s="1"/>
  <c r="K82" i="8"/>
  <c r="F64" i="8"/>
  <c r="J84" i="8"/>
  <c r="J85" i="8" s="1"/>
  <c r="H64" i="8"/>
  <c r="B84" i="8"/>
  <c r="K101" i="8"/>
  <c r="L101" i="8" s="1"/>
  <c r="N101" i="8" s="1"/>
  <c r="M79" i="8"/>
  <c r="D103" i="8"/>
  <c r="I103" i="8" s="1"/>
  <c r="C105" i="8"/>
  <c r="L83" i="8"/>
  <c r="E105" i="8" s="1"/>
  <c r="I83" i="8"/>
  <c r="I63" i="8"/>
  <c r="G63" i="8"/>
  <c r="J63" i="8" s="1"/>
  <c r="B85" i="8" l="1"/>
  <c r="M107" i="8" s="1"/>
  <c r="M105" i="8"/>
  <c r="L102" i="8"/>
  <c r="N102" i="8" s="1"/>
  <c r="H103" i="8"/>
  <c r="K103" i="8" s="1"/>
  <c r="K83" i="8"/>
  <c r="B105" i="8"/>
  <c r="J105" i="8" s="1"/>
  <c r="C106" i="8"/>
  <c r="L84" i="8"/>
  <c r="E106" i="8" s="1"/>
  <c r="I84" i="8"/>
  <c r="D104" i="8"/>
  <c r="I104" i="8" s="1"/>
  <c r="C107" i="8"/>
  <c r="J41" i="8" s="1"/>
  <c r="I85" i="8"/>
  <c r="L85" i="8"/>
  <c r="E107" i="8" s="1"/>
  <c r="H41" i="8"/>
  <c r="N79" i="8"/>
  <c r="G101" i="8" s="1"/>
  <c r="F101" i="8"/>
  <c r="G64" i="8"/>
  <c r="J64" i="8" s="1"/>
  <c r="I64" i="8"/>
  <c r="F102" i="8"/>
  <c r="M106" i="8" l="1"/>
  <c r="L103" i="8"/>
  <c r="N103" i="8" s="1"/>
  <c r="M81" i="8"/>
  <c r="F103" i="8" s="1"/>
  <c r="D105" i="8"/>
  <c r="I105" i="8" s="1"/>
  <c r="L41" i="8"/>
  <c r="N80" i="8"/>
  <c r="G102" i="8" s="1"/>
  <c r="H104" i="8"/>
  <c r="K84" i="8"/>
  <c r="B106" i="8"/>
  <c r="J106" i="8" s="1"/>
  <c r="B107" i="8"/>
  <c r="J107" i="8" s="1"/>
  <c r="K85" i="8"/>
  <c r="H105" i="8" l="1"/>
  <c r="M83" i="8" s="1"/>
  <c r="F105" i="8" s="1"/>
  <c r="D106" i="8"/>
  <c r="H106" i="8" s="1"/>
  <c r="K104" i="8"/>
  <c r="L104" i="8" s="1"/>
  <c r="N104" i="8" s="1"/>
  <c r="M82" i="8"/>
  <c r="K105" i="8"/>
  <c r="L105" i="8" s="1"/>
  <c r="N105" i="8" s="1"/>
  <c r="D107" i="8"/>
  <c r="H107" i="8" s="1"/>
  <c r="N81" i="8"/>
  <c r="G103" i="8" s="1"/>
  <c r="I106" i="8" l="1"/>
  <c r="M84" i="8" s="1"/>
  <c r="F106" i="8" s="1"/>
  <c r="K107" i="8"/>
  <c r="F104" i="8"/>
  <c r="N82" i="8"/>
  <c r="K106" i="8"/>
  <c r="I107" i="8"/>
  <c r="M85" i="8" s="1"/>
  <c r="L106" i="8" l="1"/>
  <c r="N106" i="8" s="1"/>
  <c r="F107" i="8"/>
  <c r="L107" i="8"/>
  <c r="N107" i="8" s="1"/>
  <c r="G104" i="8"/>
  <c r="N83" i="8"/>
  <c r="C37" i="8" l="1"/>
  <c r="E37" i="8" s="1"/>
  <c r="C33" i="8"/>
  <c r="E33" i="8" s="1"/>
  <c r="C32" i="8"/>
  <c r="E32" i="8" s="1"/>
  <c r="C36" i="8"/>
  <c r="E36" i="8" s="1"/>
  <c r="C35" i="8"/>
  <c r="E35" i="8" s="1"/>
  <c r="C38" i="8"/>
  <c r="C34" i="8"/>
  <c r="E34" i="8" s="1"/>
  <c r="G105" i="8"/>
  <c r="N84" i="8"/>
  <c r="I38" i="7" l="1"/>
  <c r="I44" i="22" s="1"/>
  <c r="I37" i="7"/>
  <c r="H44" i="22" s="1"/>
  <c r="I39" i="7"/>
  <c r="J44" i="22" s="1"/>
  <c r="G106" i="8"/>
  <c r="N85" i="8"/>
  <c r="G107" i="8" s="1"/>
  <c r="I51" i="26"/>
  <c r="J29" i="22" l="1"/>
  <c r="I49" i="26"/>
  <c r="G29" i="22" l="1"/>
  <c r="E5" i="28"/>
  <c r="E51" i="28" s="1"/>
  <c r="H51" i="28" l="1"/>
  <c r="F51" i="28"/>
  <c r="J71" i="28"/>
  <c r="E52" i="28"/>
  <c r="H52" i="28" l="1"/>
  <c r="J72" i="28"/>
  <c r="E53" i="28"/>
  <c r="B72" i="28"/>
  <c r="M93" i="28" s="1"/>
  <c r="F52" i="28"/>
  <c r="C93" i="28"/>
  <c r="L71" i="28"/>
  <c r="E93" i="28" s="1"/>
  <c r="I71" i="28"/>
  <c r="G51" i="28"/>
  <c r="J51" i="28" s="1"/>
  <c r="I51" i="28"/>
  <c r="F53" i="28" l="1"/>
  <c r="J73" i="28"/>
  <c r="B73" i="28"/>
  <c r="M94" i="28" s="1"/>
  <c r="H53" i="28"/>
  <c r="E54" i="28"/>
  <c r="B93" i="28"/>
  <c r="J93" i="28" s="1"/>
  <c r="K71" i="28"/>
  <c r="C94" i="28"/>
  <c r="I72" i="28"/>
  <c r="L72" i="28"/>
  <c r="E94" i="28" s="1"/>
  <c r="G52" i="28"/>
  <c r="J52" i="28" s="1"/>
  <c r="I52" i="28"/>
  <c r="C95" i="28" l="1"/>
  <c r="L73" i="28"/>
  <c r="E95" i="28" s="1"/>
  <c r="I73" i="28"/>
  <c r="H54" i="28"/>
  <c r="F54" i="28"/>
  <c r="J74" i="28"/>
  <c r="E55" i="28"/>
  <c r="B74" i="28"/>
  <c r="M95" i="28" s="1"/>
  <c r="G53" i="28"/>
  <c r="J53" i="28" s="1"/>
  <c r="I53" i="28"/>
  <c r="K72" i="28"/>
  <c r="B94" i="28"/>
  <c r="J94" i="28" s="1"/>
  <c r="D93" i="28"/>
  <c r="H93" i="28" s="1"/>
  <c r="K93" i="28" l="1"/>
  <c r="D94" i="28"/>
  <c r="I94" i="28" s="1"/>
  <c r="H55" i="28"/>
  <c r="J75" i="28"/>
  <c r="F55" i="28"/>
  <c r="B75" i="28"/>
  <c r="M96" i="28" s="1"/>
  <c r="E56" i="28"/>
  <c r="B95" i="28"/>
  <c r="J95" i="28" s="1"/>
  <c r="K73" i="28"/>
  <c r="I93" i="28"/>
  <c r="C96" i="28"/>
  <c r="I74" i="28"/>
  <c r="L74" i="28"/>
  <c r="E96" i="28" s="1"/>
  <c r="I54" i="28"/>
  <c r="G54" i="28"/>
  <c r="J54" i="28" s="1"/>
  <c r="L93" i="28" l="1"/>
  <c r="N93" i="28" s="1"/>
  <c r="H94" i="28"/>
  <c r="M72" i="28" s="1"/>
  <c r="F94" i="28" s="1"/>
  <c r="C97" i="28"/>
  <c r="L75" i="28"/>
  <c r="E97" i="28" s="1"/>
  <c r="I75" i="28"/>
  <c r="K74" i="28"/>
  <c r="B96" i="28"/>
  <c r="J96" i="28" s="1"/>
  <c r="D95" i="28"/>
  <c r="H95" i="28" s="1"/>
  <c r="I55" i="28"/>
  <c r="G55" i="28"/>
  <c r="J55" i="28" s="1"/>
  <c r="M71" i="28"/>
  <c r="J76" i="28"/>
  <c r="H56" i="28"/>
  <c r="B76" i="28"/>
  <c r="M97" i="28" s="1"/>
  <c r="F56" i="28"/>
  <c r="E57" i="28"/>
  <c r="K94" i="28" l="1"/>
  <c r="L94" i="28" s="1"/>
  <c r="N94" i="28" s="1"/>
  <c r="I95" i="28"/>
  <c r="B97" i="28"/>
  <c r="J97" i="28" s="1"/>
  <c r="K75" i="28"/>
  <c r="H57" i="28"/>
  <c r="F57" i="28"/>
  <c r="B77" i="28"/>
  <c r="M98" i="28" s="1"/>
  <c r="J77" i="28"/>
  <c r="E58" i="28"/>
  <c r="C98" i="28"/>
  <c r="L76" i="28"/>
  <c r="E98" i="28" s="1"/>
  <c r="I76" i="28"/>
  <c r="K95" i="28"/>
  <c r="G56" i="28"/>
  <c r="J56" i="28" s="1"/>
  <c r="I56" i="28"/>
  <c r="N71" i="28"/>
  <c r="F93" i="28"/>
  <c r="M73" i="28"/>
  <c r="D96" i="28"/>
  <c r="H96" i="28" s="1"/>
  <c r="L95" i="28" l="1"/>
  <c r="N95" i="28" s="1"/>
  <c r="I96" i="28"/>
  <c r="M74" i="28" s="1"/>
  <c r="K96" i="28"/>
  <c r="G57" i="28"/>
  <c r="J57" i="28" s="1"/>
  <c r="I57" i="28"/>
  <c r="G93" i="28"/>
  <c r="N72" i="28"/>
  <c r="G94" i="28" s="1"/>
  <c r="H58" i="28"/>
  <c r="B78" i="28"/>
  <c r="M99" i="28" s="1"/>
  <c r="F58" i="28"/>
  <c r="E59" i="28"/>
  <c r="J78" i="28"/>
  <c r="F95" i="28"/>
  <c r="K76" i="28"/>
  <c r="B98" i="28"/>
  <c r="J98" i="28" s="1"/>
  <c r="C99" i="28"/>
  <c r="L77" i="28"/>
  <c r="E99" i="28" s="1"/>
  <c r="I77" i="28"/>
  <c r="D97" i="28"/>
  <c r="I97" i="28" s="1"/>
  <c r="L96" i="28" l="1"/>
  <c r="N96" i="28" s="1"/>
  <c r="N73" i="28"/>
  <c r="G95" i="28" s="1"/>
  <c r="B99" i="28"/>
  <c r="J99" i="28" s="1"/>
  <c r="K77" i="28"/>
  <c r="D98" i="28"/>
  <c r="H98" i="28" s="1"/>
  <c r="I58" i="28"/>
  <c r="G58" i="28"/>
  <c r="J58" i="28" s="1"/>
  <c r="F96" i="28"/>
  <c r="H97" i="28"/>
  <c r="C100" i="28"/>
  <c r="I78" i="28"/>
  <c r="L78" i="28"/>
  <c r="E100" i="28" s="1"/>
  <c r="H59" i="28"/>
  <c r="F59" i="28"/>
  <c r="J79" i="28"/>
  <c r="B79" i="28"/>
  <c r="M100" i="28" s="1"/>
  <c r="E60" i="28"/>
  <c r="N74" i="28" l="1"/>
  <c r="G96" i="28" s="1"/>
  <c r="K98" i="28"/>
  <c r="I79" i="28"/>
  <c r="C101" i="28"/>
  <c r="L79" i="28"/>
  <c r="E101" i="28" s="1"/>
  <c r="I98" i="28"/>
  <c r="L98" i="28" s="1"/>
  <c r="N98" i="28" s="1"/>
  <c r="I59" i="28"/>
  <c r="G59" i="28"/>
  <c r="J59" i="28" s="1"/>
  <c r="B100" i="28"/>
  <c r="J100" i="28" s="1"/>
  <c r="K78" i="28"/>
  <c r="D99" i="28"/>
  <c r="I99" i="28" s="1"/>
  <c r="F60" i="28"/>
  <c r="E61" i="28"/>
  <c r="H60" i="28"/>
  <c r="B80" i="28"/>
  <c r="M101" i="28" s="1"/>
  <c r="J80" i="28"/>
  <c r="K97" i="28"/>
  <c r="L97" i="28" s="1"/>
  <c r="N97" i="28" s="1"/>
  <c r="M75" i="28"/>
  <c r="F97" i="28" l="1"/>
  <c r="N75" i="28"/>
  <c r="G97" i="28" s="1"/>
  <c r="D100" i="28"/>
  <c r="H100" i="28" s="1"/>
  <c r="B101" i="28"/>
  <c r="J101" i="28" s="1"/>
  <c r="K79" i="28"/>
  <c r="H99" i="28"/>
  <c r="M76" i="28"/>
  <c r="F61" i="28"/>
  <c r="B81" i="28"/>
  <c r="M102" i="28" s="1"/>
  <c r="H61" i="28"/>
  <c r="E62" i="28"/>
  <c r="J81" i="28"/>
  <c r="C102" i="28"/>
  <c r="L80" i="28"/>
  <c r="E102" i="28" s="1"/>
  <c r="I80" i="28"/>
  <c r="I60" i="28"/>
  <c r="G60" i="28"/>
  <c r="J60" i="28" s="1"/>
  <c r="I100" i="28" l="1"/>
  <c r="M78" i="28" s="1"/>
  <c r="K100" i="28"/>
  <c r="L100" i="28" s="1"/>
  <c r="N100" i="28" s="1"/>
  <c r="K80" i="28"/>
  <c r="B102" i="28"/>
  <c r="J102" i="28" s="1"/>
  <c r="C103" i="28"/>
  <c r="I81" i="28"/>
  <c r="L81" i="28"/>
  <c r="E103" i="28" s="1"/>
  <c r="I61" i="28"/>
  <c r="G61" i="28"/>
  <c r="J61" i="28" s="1"/>
  <c r="D101" i="28"/>
  <c r="H101" i="28" s="1"/>
  <c r="H62" i="28"/>
  <c r="J82" i="28"/>
  <c r="F62" i="28"/>
  <c r="E63" i="28"/>
  <c r="B82" i="28"/>
  <c r="M103" i="28" s="1"/>
  <c r="F98" i="28"/>
  <c r="N76" i="28"/>
  <c r="G98" i="28" s="1"/>
  <c r="K99" i="28"/>
  <c r="L99" i="28" s="1"/>
  <c r="N99" i="28" s="1"/>
  <c r="M77" i="28"/>
  <c r="I101" i="28" l="1"/>
  <c r="N77" i="28"/>
  <c r="G99" i="28" s="1"/>
  <c r="F99" i="28"/>
  <c r="F63" i="28"/>
  <c r="B83" i="28"/>
  <c r="M104" i="28" s="1"/>
  <c r="H63" i="28"/>
  <c r="J83" i="28"/>
  <c r="E64" i="28"/>
  <c r="K101" i="28"/>
  <c r="L101" i="28" s="1"/>
  <c r="N101" i="28" s="1"/>
  <c r="I62" i="28"/>
  <c r="G62" i="28"/>
  <c r="J62" i="28" s="1"/>
  <c r="F100" i="28"/>
  <c r="C104" i="28"/>
  <c r="L82" i="28"/>
  <c r="E104" i="28" s="1"/>
  <c r="I82" i="28"/>
  <c r="D102" i="28"/>
  <c r="I102" i="28" s="1"/>
  <c r="M79" i="28"/>
  <c r="B103" i="28"/>
  <c r="J103" i="28" s="1"/>
  <c r="K81" i="28"/>
  <c r="H102" i="28" l="1"/>
  <c r="K102" i="28" s="1"/>
  <c r="L102" i="28" s="1"/>
  <c r="N102" i="28" s="1"/>
  <c r="N78" i="28"/>
  <c r="G100" i="28" s="1"/>
  <c r="F101" i="28"/>
  <c r="C105" i="28"/>
  <c r="L83" i="28"/>
  <c r="E105" i="28" s="1"/>
  <c r="I83" i="28"/>
  <c r="D103" i="28"/>
  <c r="H103" i="28" s="1"/>
  <c r="B104" i="28"/>
  <c r="J104" i="28" s="1"/>
  <c r="K82" i="28"/>
  <c r="H64" i="28"/>
  <c r="J85" i="28"/>
  <c r="F64" i="28"/>
  <c r="J84" i="28"/>
  <c r="B84" i="28"/>
  <c r="I63" i="28"/>
  <c r="G63" i="28"/>
  <c r="J63" i="28" s="1"/>
  <c r="N79" i="28" l="1"/>
  <c r="G101" i="28" s="1"/>
  <c r="M80" i="28"/>
  <c r="F102" i="28" s="1"/>
  <c r="B85" i="28"/>
  <c r="M105" i="28"/>
  <c r="I103" i="28"/>
  <c r="K103" i="28"/>
  <c r="H41" i="28"/>
  <c r="C107" i="28"/>
  <c r="J41" i="28" s="1"/>
  <c r="L85" i="28"/>
  <c r="E107" i="28" s="1"/>
  <c r="I85" i="28"/>
  <c r="B105" i="28"/>
  <c r="J105" i="28" s="1"/>
  <c r="K83" i="28"/>
  <c r="D104" i="28"/>
  <c r="H104" i="28" s="1"/>
  <c r="C106" i="28"/>
  <c r="I84" i="28"/>
  <c r="L84" i="28"/>
  <c r="E106" i="28" s="1"/>
  <c r="G64" i="28"/>
  <c r="J64" i="28" s="1"/>
  <c r="I64" i="28"/>
  <c r="N80" i="28" l="1"/>
  <c r="G102" i="28" s="1"/>
  <c r="M106" i="28"/>
  <c r="M107" i="28"/>
  <c r="I104" i="28"/>
  <c r="M82" i="28" s="1"/>
  <c r="L103" i="28"/>
  <c r="N103" i="28" s="1"/>
  <c r="M81" i="28"/>
  <c r="F103" i="28" s="1"/>
  <c r="K104" i="28"/>
  <c r="D105" i="28"/>
  <c r="H105" i="28" s="1"/>
  <c r="B106" i="28"/>
  <c r="J106" i="28" s="1"/>
  <c r="K84" i="28"/>
  <c r="L41" i="28"/>
  <c r="B107" i="28"/>
  <c r="J107" i="28" s="1"/>
  <c r="K85" i="28"/>
  <c r="L104" i="28" l="1"/>
  <c r="N104" i="28" s="1"/>
  <c r="I105" i="28"/>
  <c r="M83" i="28" s="1"/>
  <c r="F105" i="28" s="1"/>
  <c r="N81" i="28"/>
  <c r="G103" i="28" s="1"/>
  <c r="K105" i="28"/>
  <c r="F104" i="28"/>
  <c r="D107" i="28"/>
  <c r="H107" i="28" s="1"/>
  <c r="D106" i="28"/>
  <c r="H106" i="28" s="1"/>
  <c r="I107" i="28" l="1"/>
  <c r="M85" i="28" s="1"/>
  <c r="L105" i="28"/>
  <c r="N105" i="28" s="1"/>
  <c r="I106" i="28"/>
  <c r="M84" i="28" s="1"/>
  <c r="F106" i="28" s="1"/>
  <c r="N82" i="28"/>
  <c r="K107" i="28"/>
  <c r="L107" i="28" s="1"/>
  <c r="N107" i="28" s="1"/>
  <c r="K106" i="28"/>
  <c r="L106" i="28" l="1"/>
  <c r="N106" i="28" s="1"/>
  <c r="C33" i="28" s="1"/>
  <c r="C37" i="28"/>
  <c r="G104" i="28"/>
  <c r="N83" i="28"/>
  <c r="F107" i="28"/>
  <c r="C32" i="28" l="1"/>
  <c r="C35" i="28"/>
  <c r="I60" i="26" s="1"/>
  <c r="H51" i="22" s="1"/>
  <c r="C38" i="28"/>
  <c r="I62" i="26" s="1"/>
  <c r="J51" i="22" s="1"/>
  <c r="C34" i="28"/>
  <c r="C36" i="28"/>
  <c r="I61" i="26" s="1"/>
  <c r="I51" i="22" s="1"/>
  <c r="G105" i="28"/>
  <c r="N84" i="28"/>
  <c r="G106" i="28" l="1"/>
  <c r="N85" i="28"/>
  <c r="G107" i="28" s="1"/>
</calcChain>
</file>

<file path=xl/sharedStrings.xml><?xml version="1.0" encoding="utf-8"?>
<sst xmlns="http://schemas.openxmlformats.org/spreadsheetml/2006/main" count="5959" uniqueCount="524">
  <si>
    <t>2017 OPI Conference file</t>
  </si>
  <si>
    <t>Outline of Talk:</t>
  </si>
  <si>
    <t>1)</t>
  </si>
  <si>
    <t>Devonian play type</t>
  </si>
  <si>
    <t>Shallow oil pool development</t>
  </si>
  <si>
    <t>a)</t>
  </si>
  <si>
    <t>Vertical well pool development, primary recovery w/onsite water disposal</t>
  </si>
  <si>
    <t>b)</t>
  </si>
  <si>
    <t>Vertical well pool development, secondary recovery w/onsite water disposal</t>
  </si>
  <si>
    <t>Rodney-type pools</t>
  </si>
  <si>
    <t>2)</t>
  </si>
  <si>
    <t>Silurian Carbonate play type</t>
  </si>
  <si>
    <t>Vertical well pool development - A-1, A-2, Guelph fault-related pool</t>
  </si>
  <si>
    <t>Townline-type pools</t>
  </si>
  <si>
    <t>c)</t>
  </si>
  <si>
    <t>Horizontal well pool development, primary recovery</t>
  </si>
  <si>
    <t>South Rodney pool</t>
  </si>
  <si>
    <t>d)</t>
  </si>
  <si>
    <t>Horizontal well pool development, secondary recovery</t>
  </si>
  <si>
    <t>None</t>
  </si>
  <si>
    <t>Vertical well pool development - Guelph gas pinnacle reefs</t>
  </si>
  <si>
    <t>Many pool examples</t>
  </si>
  <si>
    <t>Vertical well pool development - Guelph oil/gas pinnacle reefs</t>
  </si>
  <si>
    <t>Ladysmith, Edys Mills-type pools</t>
  </si>
  <si>
    <t>Vertical well pool development - Guelph oil pinnacle reefs</t>
  </si>
  <si>
    <t>Petrolia East-type pools</t>
  </si>
  <si>
    <t>e)</t>
  </si>
  <si>
    <t>Horizontal well pool development - A-1, A-2, Guelph fault-related pool</t>
  </si>
  <si>
    <t>f)</t>
  </si>
  <si>
    <t>Horizontal well pool development - Guelph gas pinnacle reefs</t>
  </si>
  <si>
    <t>g)</t>
  </si>
  <si>
    <t>Horizontal well pool development - Guelph oil/gas pinnacle reefs</t>
  </si>
  <si>
    <t>h)</t>
  </si>
  <si>
    <t>Horizontal well pool development - Guelph oil pinnacle reefs</t>
  </si>
  <si>
    <t>3)</t>
  </si>
  <si>
    <t>Silurian Sandstone play type</t>
  </si>
  <si>
    <t>Vertical well pool development - Thorold/Grimsby/Whirlpool pools</t>
  </si>
  <si>
    <t>Many examples</t>
  </si>
  <si>
    <t>Horizontal well pool development - Thorold/Grimsby/Whirlpool pools</t>
  </si>
  <si>
    <t>4)</t>
  </si>
  <si>
    <t>Ordovician Carbonate play type</t>
  </si>
  <si>
    <t>Vertical well pool development</t>
  </si>
  <si>
    <t>Horizontal well pool development</t>
  </si>
  <si>
    <t>Goldsmith/Renwick offshore pools</t>
  </si>
  <si>
    <t>5)</t>
  </si>
  <si>
    <t>Cambrian play type</t>
  </si>
  <si>
    <t>Vertical well gas pool development</t>
  </si>
  <si>
    <t>Innerkip-type pools</t>
  </si>
  <si>
    <t>Vertical well oil pool development</t>
  </si>
  <si>
    <t>Willey-type pools</t>
  </si>
  <si>
    <t>Horizontal well gas pool development</t>
  </si>
  <si>
    <t>Horizontal well oil pool development</t>
  </si>
  <si>
    <t>Oil Spring-type pools, South Rodney-type pool</t>
  </si>
  <si>
    <t>Development Costs</t>
  </si>
  <si>
    <t>Cost</t>
  </si>
  <si>
    <t>($k)</t>
  </si>
  <si>
    <t>Item</t>
  </si>
  <si>
    <t>Cost/Item</t>
  </si>
  <si>
    <t>k</t>
  </si>
  <si>
    <t>Equipping: Injection</t>
  </si>
  <si>
    <t>Facilities: Average /well costs</t>
  </si>
  <si>
    <t>k/well</t>
  </si>
  <si>
    <t>Pool area:</t>
  </si>
  <si>
    <t>Production wells</t>
  </si>
  <si>
    <t>Injection wells</t>
  </si>
  <si>
    <t>Drill, complete, equip</t>
  </si>
  <si>
    <t>Battery</t>
  </si>
  <si>
    <t>wells</t>
  </si>
  <si>
    <t>ac</t>
  </si>
  <si>
    <t>Total development cost</t>
  </si>
  <si>
    <t>Initial production:</t>
  </si>
  <si>
    <t>Decline rate:</t>
  </si>
  <si>
    <t>Economic limit</t>
  </si>
  <si>
    <t>bopd</t>
  </si>
  <si>
    <t>/yr</t>
  </si>
  <si>
    <t>Recoverable reserves</t>
  </si>
  <si>
    <t>MBbl</t>
  </si>
  <si>
    <t>OOIP</t>
  </si>
  <si>
    <t>OOIP factor</t>
  </si>
  <si>
    <t>Bbl/ac-ft</t>
  </si>
  <si>
    <t>Average net pay</t>
  </si>
  <si>
    <t>ft</t>
  </si>
  <si>
    <t>Recovery factor</t>
  </si>
  <si>
    <t>Drilling costs, vertical well:</t>
  </si>
  <si>
    <t>Completion costs, vertical well:</t>
  </si>
  <si>
    <t>Drilling costs, horizontal well:</t>
  </si>
  <si>
    <t>Completion costs, horizontal well:</t>
  </si>
  <si>
    <t>Equipping: Vertical production well</t>
  </si>
  <si>
    <t>Equipping: Horizontal production well</t>
  </si>
  <si>
    <t>Pool OOIP</t>
  </si>
  <si>
    <t>Comments</t>
  </si>
  <si>
    <t>Estimate</t>
  </si>
  <si>
    <t>Rodney OOIP factor</t>
  </si>
  <si>
    <t>Rodney Ave net pay</t>
  </si>
  <si>
    <t>Devonian Oil</t>
  </si>
  <si>
    <t>Battery costs (Disp well, water source well, triplex pump, tanks:</t>
  </si>
  <si>
    <t>Bopd</t>
  </si>
  <si>
    <t>"b" value</t>
  </si>
  <si>
    <t>(0 = Exponential Decline, 1 = Harmonic Decline)</t>
  </si>
  <si>
    <r>
      <t>Gross well economic limit, q</t>
    </r>
    <r>
      <rPr>
        <vertAlign val="subscript"/>
        <sz val="10"/>
        <rFont val="Geneva"/>
      </rPr>
      <t>ec</t>
    </r>
  </si>
  <si>
    <t>Constant GOR</t>
  </si>
  <si>
    <r>
      <t>m</t>
    </r>
    <r>
      <rPr>
        <vertAlign val="superscript"/>
        <sz val="10"/>
        <rFont val="Geneva"/>
      </rPr>
      <t>3</t>
    </r>
    <r>
      <rPr>
        <sz val="10"/>
        <rFont val="Geneva"/>
      </rPr>
      <t>/m</t>
    </r>
    <r>
      <rPr>
        <vertAlign val="superscript"/>
        <sz val="10"/>
        <rFont val="Geneva"/>
      </rPr>
      <t>3</t>
    </r>
    <r>
      <rPr>
        <sz val="10"/>
        <rFont val="Geneva"/>
      </rPr>
      <t xml:space="preserve">  (</t>
    </r>
  </si>
  <si>
    <t>cf/Bbl)</t>
  </si>
  <si>
    <t>Constant NGL/Gas</t>
  </si>
  <si>
    <r>
      <t>m</t>
    </r>
    <r>
      <rPr>
        <vertAlign val="superscript"/>
        <sz val="10"/>
        <rFont val="Geneva"/>
      </rPr>
      <t>3</t>
    </r>
    <r>
      <rPr>
        <sz val="10"/>
        <rFont val="Geneva"/>
      </rPr>
      <t>/10</t>
    </r>
    <r>
      <rPr>
        <vertAlign val="superscript"/>
        <sz val="10"/>
        <rFont val="Geneva"/>
      </rPr>
      <t>3</t>
    </r>
    <r>
      <rPr>
        <sz val="10"/>
        <rFont val="Geneva"/>
      </rPr>
      <t>m</t>
    </r>
    <r>
      <rPr>
        <vertAlign val="superscript"/>
        <sz val="10"/>
        <rFont val="Geneva"/>
      </rPr>
      <t>3</t>
    </r>
    <r>
      <rPr>
        <sz val="10"/>
        <rFont val="Geneva"/>
      </rPr>
      <t xml:space="preserve">  (</t>
    </r>
  </si>
  <si>
    <t>Bbl/Mcf)</t>
  </si>
  <si>
    <t>Number of gross wells onstream</t>
  </si>
  <si>
    <t>Operating Costs:</t>
  </si>
  <si>
    <t>Write-off</t>
  </si>
  <si>
    <t>Deductible before royalties</t>
  </si>
  <si>
    <t>/Bbl</t>
  </si>
  <si>
    <t>/Mcf</t>
  </si>
  <si>
    <t>Well Gross Fixed</t>
  </si>
  <si>
    <t>Rate (%/yr)</t>
  </si>
  <si>
    <t>Well Variable</t>
  </si>
  <si>
    <t>CEE</t>
  </si>
  <si>
    <t>Field Gross Fixed</t>
  </si>
  <si>
    <t>CDE</t>
  </si>
  <si>
    <t>Field Variable</t>
  </si>
  <si>
    <t>COGPE</t>
  </si>
  <si>
    <t>Inflation Rate</t>
  </si>
  <si>
    <t>Losses</t>
  </si>
  <si>
    <t>Capital Costs:</t>
  </si>
  <si>
    <t>CCA</t>
  </si>
  <si>
    <t>Royalty Rates</t>
  </si>
  <si>
    <t>Economics Indicators</t>
  </si>
  <si>
    <t>Present Worth</t>
  </si>
  <si>
    <t>Before Tax</t>
  </si>
  <si>
    <t>Discount</t>
  </si>
  <si>
    <t>Reserve Summary</t>
  </si>
  <si>
    <t xml:space="preserve">       Oil Reserves</t>
  </si>
  <si>
    <t>Natural Gas Reserves</t>
  </si>
  <si>
    <t xml:space="preserve">      NGL Reserves</t>
  </si>
  <si>
    <r>
      <t xml:space="preserve">   BOE Reserves</t>
    </r>
    <r>
      <rPr>
        <vertAlign val="superscript"/>
        <sz val="10"/>
        <rFont val="Geneva"/>
      </rPr>
      <t>(1)</t>
    </r>
  </si>
  <si>
    <t>Property Gross Remaining Recoverable Reserves</t>
  </si>
  <si>
    <t>MMcf</t>
  </si>
  <si>
    <t>Bbl</t>
  </si>
  <si>
    <t>Note 1:</t>
  </si>
  <si>
    <t xml:space="preserve">BOE equivalence assuming </t>
  </si>
  <si>
    <t xml:space="preserve">Mcf gas/BOE, and </t>
  </si>
  <si>
    <t>Bbl NGL/BOE</t>
  </si>
  <si>
    <t>Forecast</t>
  </si>
  <si>
    <t>Property</t>
  </si>
  <si>
    <t>Year</t>
  </si>
  <si>
    <t>Gross St</t>
  </si>
  <si>
    <t>Net St</t>
  </si>
  <si>
    <t>Oil</t>
  </si>
  <si>
    <t xml:space="preserve">Gas </t>
  </si>
  <si>
    <t>NGL</t>
  </si>
  <si>
    <t>Dly Oil</t>
  </si>
  <si>
    <t>Dly Gas</t>
  </si>
  <si>
    <t>Dly NGL</t>
  </si>
  <si>
    <t>Price</t>
  </si>
  <si>
    <t>Rate</t>
  </si>
  <si>
    <t>(Bopd)</t>
  </si>
  <si>
    <t>(Mcfd)</t>
  </si>
  <si>
    <t>(Bpd)</t>
  </si>
  <si>
    <t>($/Bbl)</t>
  </si>
  <si>
    <t>($/Mcf)</t>
  </si>
  <si>
    <t># of</t>
  </si>
  <si>
    <t>Gross</t>
  </si>
  <si>
    <t>Net</t>
  </si>
  <si>
    <t>Net Wells</t>
  </si>
  <si>
    <t>Annual</t>
  </si>
  <si>
    <t>Cum</t>
  </si>
  <si>
    <t>On</t>
  </si>
  <si>
    <t>Gas</t>
  </si>
  <si>
    <t>(MBbl)</t>
  </si>
  <si>
    <t>(MMcf)</t>
  </si>
  <si>
    <t>WI</t>
  </si>
  <si>
    <t>Royalties</t>
  </si>
  <si>
    <t>Operating</t>
  </si>
  <si>
    <t>Cash</t>
  </si>
  <si>
    <t>Capital</t>
  </si>
  <si>
    <t>Cash Flow</t>
  </si>
  <si>
    <t>Revenue</t>
  </si>
  <si>
    <t>Payable</t>
  </si>
  <si>
    <t>Receivable</t>
  </si>
  <si>
    <t>Costs</t>
  </si>
  <si>
    <t>Flow</t>
  </si>
  <si>
    <t>after Cap</t>
  </si>
  <si>
    <t>(Bbl)</t>
  </si>
  <si>
    <t>Devonian Vertical Waterflood Economics</t>
  </si>
  <si>
    <r>
      <t>Starting rate, q</t>
    </r>
    <r>
      <rPr>
        <vertAlign val="subscript"/>
        <sz val="10"/>
        <rFont val="Geneva"/>
      </rPr>
      <t>i</t>
    </r>
  </si>
  <si>
    <r>
      <t>Decline rate, D</t>
    </r>
    <r>
      <rPr>
        <vertAlign val="subscript"/>
        <sz val="10"/>
        <rFont val="Geneva"/>
      </rPr>
      <t>i</t>
    </r>
  </si>
  <si>
    <t>Variable Op Costs</t>
  </si>
  <si>
    <t>Fixed Op Costs</t>
  </si>
  <si>
    <t>/bbl</t>
  </si>
  <si>
    <t>k/mo</t>
  </si>
  <si>
    <t>WI in oil production</t>
  </si>
  <si>
    <t>k/well/mo</t>
  </si>
  <si>
    <t>Abandonment costs: vertical well</t>
  </si>
  <si>
    <t>Abandonment costs: battery</t>
  </si>
  <si>
    <t>Pool Abandonment</t>
  </si>
  <si>
    <t>Pool Development</t>
  </si>
  <si>
    <t>k total</t>
  </si>
  <si>
    <t>k total in yr pool SI</t>
  </si>
  <si>
    <t>ROR</t>
  </si>
  <si>
    <t>Devonian Horizontal Waterflood Economics</t>
  </si>
  <si>
    <t>Abandonment costs: horizontal well</t>
  </si>
  <si>
    <t xml:space="preserve">Pool Development: </t>
  </si>
  <si>
    <t>ac spacing, 5-spot water injection</t>
  </si>
  <si>
    <t>bopd/w</t>
  </si>
  <si>
    <t>NPV12.5</t>
  </si>
  <si>
    <t>NPV15</t>
  </si>
  <si>
    <t>Compressor site costs (Disp well, compressor, TEG dehy, Meter site:</t>
  </si>
  <si>
    <t>OGIP</t>
  </si>
  <si>
    <t>OGIP factor</t>
  </si>
  <si>
    <t>Mcf/ac-ft</t>
  </si>
  <si>
    <t>ac spacing vertical wells</t>
  </si>
  <si>
    <t>Compressor station</t>
  </si>
  <si>
    <t>Mcfd/w</t>
  </si>
  <si>
    <t>Mcfd</t>
  </si>
  <si>
    <t>Abandonment costs: compressor site</t>
  </si>
  <si>
    <t>WI in gas production</t>
  </si>
  <si>
    <t>Silurian A1/A2 Gas Vertical Pool Development Economics</t>
  </si>
  <si>
    <t>Silurian A1/A2 Gas Horizontal Pool Development Economics</t>
  </si>
  <si>
    <t>Price Forecast</t>
  </si>
  <si>
    <t>Natural Gas</t>
  </si>
  <si>
    <t>Average</t>
  </si>
  <si>
    <t>NYMEX</t>
  </si>
  <si>
    <t>Exchange</t>
  </si>
  <si>
    <t>Basis to</t>
  </si>
  <si>
    <t>H Hub</t>
  </si>
  <si>
    <t>($US/MMBtu)</t>
  </si>
  <si>
    <t>($US/$Cdn)</t>
  </si>
  <si>
    <t>($Cdn/MMBtu)</t>
  </si>
  <si>
    <t>($Cdn/Mcf)</t>
  </si>
  <si>
    <t>Crude Oil</t>
  </si>
  <si>
    <t>Basis</t>
  </si>
  <si>
    <t>Clvle/Willey</t>
  </si>
  <si>
    <t>Edm Par</t>
  </si>
  <si>
    <t>WTI-Edm</t>
  </si>
  <si>
    <t>WTI</t>
  </si>
  <si>
    <t>($US/Bbl)</t>
  </si>
  <si>
    <t>($Cdn/Bbl)</t>
  </si>
  <si>
    <t>Ontario</t>
  </si>
  <si>
    <t>Brk/War/P Est</t>
  </si>
  <si>
    <t>Rodney</t>
  </si>
  <si>
    <t>Rom 2-215-II</t>
  </si>
  <si>
    <t>Dover E</t>
  </si>
  <si>
    <t>Forecasted Costs and Prices</t>
  </si>
  <si>
    <t>Ordovician Oil/Gas Pools</t>
  </si>
  <si>
    <t>(</t>
  </si>
  <si>
    <t>ft wide)</t>
  </si>
  <si>
    <t>ft lng x</t>
  </si>
  <si>
    <t>2005 Ordovician study</t>
  </si>
  <si>
    <t>2005 Ordovician Report Table D</t>
  </si>
  <si>
    <t>Field</t>
  </si>
  <si>
    <t>Pool</t>
  </si>
  <si>
    <t>Res Pr</t>
  </si>
  <si>
    <t>Oil Pay</t>
  </si>
  <si>
    <t>Max</t>
  </si>
  <si>
    <t>Ave</t>
  </si>
  <si>
    <t>Area</t>
  </si>
  <si>
    <t>OOEIP</t>
  </si>
  <si>
    <t>Max IP</t>
  </si>
  <si>
    <t>Rec Fctr</t>
  </si>
  <si>
    <t>Decline</t>
  </si>
  <si>
    <t>Goldsmith-Lakeshore</t>
  </si>
  <si>
    <t>Wheatley East</t>
  </si>
  <si>
    <t>(kPaa)</t>
  </si>
  <si>
    <t>(m)</t>
  </si>
  <si>
    <t>(%)</t>
  </si>
  <si>
    <t>1-18</t>
  </si>
  <si>
    <t>.721</t>
  </si>
  <si>
    <t>(MJ/m3)</t>
  </si>
  <si>
    <t>(ha)</t>
  </si>
  <si>
    <t>(m3)</t>
  </si>
  <si>
    <t>(m3E)</t>
  </si>
  <si>
    <t>(m3/D)</t>
  </si>
  <si>
    <t>(103m3/D)</t>
  </si>
  <si>
    <t>(%/yr)</t>
  </si>
  <si>
    <t>Por</t>
  </si>
  <si>
    <t>Range</t>
  </si>
  <si>
    <t>SG</t>
  </si>
  <si>
    <t>Heat</t>
  </si>
  <si>
    <t xml:space="preserve">Rsrvoir </t>
  </si>
  <si>
    <t>Vol</t>
  </si>
  <si>
    <t>Goldsmith</t>
  </si>
  <si>
    <t>Dover East</t>
  </si>
  <si>
    <t>Renwick-Fargo</t>
  </si>
  <si>
    <t>Renwick South</t>
  </si>
  <si>
    <t>Renwick North</t>
  </si>
  <si>
    <t>Fargo</t>
  </si>
  <si>
    <t>Windfall</t>
  </si>
  <si>
    <t>Rochester</t>
  </si>
  <si>
    <t>Roch 1-20-V EBR</t>
  </si>
  <si>
    <t>Roch 4-8-I</t>
  </si>
  <si>
    <t>Roch 8-8-I</t>
  </si>
  <si>
    <t>Code</t>
  </si>
  <si>
    <t>#</t>
  </si>
  <si>
    <t>Roch 7-17-II EBR</t>
  </si>
  <si>
    <t>Roch 1-17-II EBR</t>
  </si>
  <si>
    <t>Hillman</t>
  </si>
  <si>
    <t>Mersea 4-240-STR</t>
  </si>
  <si>
    <t>Mersea 1-16-I</t>
  </si>
  <si>
    <t>Olinda-Wigle</t>
  </si>
  <si>
    <t>Gos N 2-21-VI</t>
  </si>
  <si>
    <t>Gos S 2-24-V</t>
  </si>
  <si>
    <t>Mersea 3-4-IV</t>
  </si>
  <si>
    <t>Mersea 3-6-V</t>
  </si>
  <si>
    <t>Innerkip</t>
  </si>
  <si>
    <t>Blenheim 8-13-X</t>
  </si>
  <si>
    <t>Hillman/Mersea 7-15-A</t>
  </si>
  <si>
    <t>Mersea 2-15-B/6-16-B</t>
  </si>
  <si>
    <t>1-21.1</t>
  </si>
  <si>
    <t>1-9.5</t>
  </si>
  <si>
    <t>1-30+</t>
  </si>
  <si>
    <t>1-10</t>
  </si>
  <si>
    <t>1-13</t>
  </si>
  <si>
    <t>1-28</t>
  </si>
  <si>
    <t>1-14</t>
  </si>
  <si>
    <t>1-13.5</t>
  </si>
  <si>
    <t>1-20</t>
  </si>
  <si>
    <t>1-19.5</t>
  </si>
  <si>
    <t>1-10.8</t>
  </si>
  <si>
    <t>1-7.7</t>
  </si>
  <si>
    <t>1-8.7</t>
  </si>
  <si>
    <t>1-7.5</t>
  </si>
  <si>
    <t>Factor</t>
  </si>
  <si>
    <t>(m3/ha-m)</t>
  </si>
  <si>
    <t>(STB/ac-ft)</t>
  </si>
  <si>
    <t>Ave:</t>
  </si>
  <si>
    <t>Max:</t>
  </si>
  <si>
    <t>ha)</t>
  </si>
  <si>
    <t>Battery costs (Disp well, tanks, compressor, dehy, gas sales site</t>
  </si>
  <si>
    <t>Ordovician Vertical Economics</t>
  </si>
  <si>
    <t>scf/bbl</t>
  </si>
  <si>
    <t>GOR</t>
  </si>
  <si>
    <t>(103m3)</t>
  </si>
  <si>
    <t>(m3/m3)</t>
  </si>
  <si>
    <t>(scf/bbl)</t>
  </si>
  <si>
    <t>ac vertical well spacing perpendicular to trend, equiv to</t>
  </si>
  <si>
    <t>Abandonment costs: wells</t>
  </si>
  <si>
    <t>k in 2017 $</t>
  </si>
  <si>
    <t>res ac/well</t>
  </si>
  <si>
    <t xml:space="preserve"> res ac/well</t>
  </si>
  <si>
    <t>Ordovician Horizontal Economics</t>
  </si>
  <si>
    <t>Bailey/Cochrane rpt</t>
  </si>
  <si>
    <t>ac vertical well spacing</t>
  </si>
  <si>
    <t>Cambrian Vertical Economics</t>
  </si>
  <si>
    <t>Clearville</t>
  </si>
  <si>
    <t>Romney</t>
  </si>
  <si>
    <t>ac horizontal well spacing perpendicular to trend, equiv to</t>
  </si>
  <si>
    <t>Hor Prod'n wells</t>
  </si>
  <si>
    <t>Cambriani Horizontal Sol'n Gas Injection Economics</t>
  </si>
  <si>
    <t>Estmate</t>
  </si>
  <si>
    <t>Partially Salt-Plugged Guelph Oil</t>
  </si>
  <si>
    <t>Battery costs (Disp well, treater, tanks:</t>
  </si>
  <si>
    <t>Wanstead</t>
  </si>
  <si>
    <t>Br/War/P Est</t>
  </si>
  <si>
    <t>Silurian Guelph Horizontal Waterflood Economics</t>
  </si>
  <si>
    <t>2017 Crude Oil Price</t>
  </si>
  <si>
    <t>Royalty Rate</t>
  </si>
  <si>
    <t>2017 Gas Price</t>
  </si>
  <si>
    <t>Capital Cost Assumptions:</t>
  </si>
  <si>
    <t>D&amp;A costs: Vertical Devonian-depth well</t>
  </si>
  <si>
    <t>D&amp;A costs: Horizontal Devonian-depth well</t>
  </si>
  <si>
    <t>Devonian pool development</t>
  </si>
  <si>
    <t>Completion costs: Vertical Devonian-depth well</t>
  </si>
  <si>
    <t>Completion costs: Horizontal Devonian-depth well</t>
  </si>
  <si>
    <t>Equipping costs: Vertical Devonian-depth Producing well</t>
  </si>
  <si>
    <t>Equipping costs: Horizotal Devonian-depth Producing well</t>
  </si>
  <si>
    <t>Equipping costs: Injection well</t>
  </si>
  <si>
    <t>Pipelines: Average/well costs</t>
  </si>
  <si>
    <t>Battery Costs (Disp well, water source well, injection pump, tanks):</t>
  </si>
  <si>
    <t xml:space="preserve">k </t>
  </si>
  <si>
    <t>Completion costs: Vertical Silurian/Guelph-depth well</t>
  </si>
  <si>
    <t>Completion costs: Horizontal Silurian/Guelph-depth well</t>
  </si>
  <si>
    <t>Equipping costs: Vertical Silurian/Guelph-depth Producing Oil well</t>
  </si>
  <si>
    <t>Compressor site costs (Disp well, compressor, TEG dehy, meter site):</t>
  </si>
  <si>
    <t>Equipping costs: Horizotal Silurian/Guelph-depth Producing Oil well</t>
  </si>
  <si>
    <t>Pool OGIP</t>
  </si>
  <si>
    <t>Abandonment costs: vertical gas well</t>
  </si>
  <si>
    <t>Abandonment costs: vertical oil well</t>
  </si>
  <si>
    <t>Abandonment costs: horizontal gas well</t>
  </si>
  <si>
    <t>Abandonment costs: horizontal oil well</t>
  </si>
  <si>
    <t>Ordovician pool development</t>
  </si>
  <si>
    <t>D&amp;A costs: Vertical Ordovician-depth well</t>
  </si>
  <si>
    <t>D&amp;A costs: Horizontal Ordovician-depth well</t>
  </si>
  <si>
    <t>Completion costs: Vertical Ordovician-depth well</t>
  </si>
  <si>
    <t>Completion costs: Horizontal Ordovician-depth well</t>
  </si>
  <si>
    <t>Equipping costs: Vertical Ordovocian-depth Producing Gas well</t>
  </si>
  <si>
    <t>Equipping costs: Vertical Ordovician-depth Producing Oil well</t>
  </si>
  <si>
    <t>Equipping costs: Horizotal Ordovician-depth Producing Gas well</t>
  </si>
  <si>
    <t>Equipping costs: Horizotal Ordovician-depth Producing Oil well</t>
  </si>
  <si>
    <t>Abandonment costs: Compressor Site</t>
  </si>
  <si>
    <t>Cambrian pool development</t>
  </si>
  <si>
    <t>D&amp;A costs: Vertical Cambrian-depth well</t>
  </si>
  <si>
    <t>D&amp;A costs: Horizontal Cambrian-depth well</t>
  </si>
  <si>
    <t>Completion costs: Vertical Cambrian-depth well</t>
  </si>
  <si>
    <t>Completion costs: Horizontal Cambrian-depth well</t>
  </si>
  <si>
    <t>Equipping costs: Vertical Cambrian-depth Producing Gas well</t>
  </si>
  <si>
    <t>Equipping costs: Vertical Cambrian-depth Producing Oil well</t>
  </si>
  <si>
    <t>Equipping costs: Horizotal Cambrian-depth Producing Gas well</t>
  </si>
  <si>
    <t>Equipping costs: Horizotal Cambrian-depth Producing Oil well</t>
  </si>
  <si>
    <t>Equipping costs: Cambrian-depth Injection well</t>
  </si>
  <si>
    <t>ac vertical well spacing w/</t>
  </si>
  <si>
    <t>Gas Reinjection wells</t>
  </si>
  <si>
    <t>Equipping: Injection well</t>
  </si>
  <si>
    <t>Equipping: Vertical oil production well</t>
  </si>
  <si>
    <t>Equipping: Horizontal oil production well</t>
  </si>
  <si>
    <t xml:space="preserve">Battery costs (Disp well, tanks, compressor) </t>
  </si>
  <si>
    <t>Reinjected</t>
  </si>
  <si>
    <t>Summary of Results</t>
  </si>
  <si>
    <t>Geological Formation</t>
  </si>
  <si>
    <t>Devonian</t>
  </si>
  <si>
    <t>Silurian A-1 Gas</t>
  </si>
  <si>
    <t>Silurian Guelph Oil</t>
  </si>
  <si>
    <t>Silurian Clinton Gas</t>
  </si>
  <si>
    <t>Ordovician Gas</t>
  </si>
  <si>
    <t>Ordovician Oil</t>
  </si>
  <si>
    <t>Cambrian Gas</t>
  </si>
  <si>
    <t>Cambrian Oil</t>
  </si>
  <si>
    <t>Pool Analogy</t>
  </si>
  <si>
    <t>Norfolk</t>
  </si>
  <si>
    <t>N/A</t>
  </si>
  <si>
    <t>Pool Dimensions</t>
  </si>
  <si>
    <t>Width</t>
  </si>
  <si>
    <t>Length</t>
  </si>
  <si>
    <t>(ft)</t>
  </si>
  <si>
    <t>(Acres)</t>
  </si>
  <si>
    <t>(Bbl/ac-ft)</t>
  </si>
  <si>
    <t>(Mcf/ac-ft)</t>
  </si>
  <si>
    <t>Ave Net</t>
  </si>
  <si>
    <t>Pay</t>
  </si>
  <si>
    <t>Vert WF</t>
  </si>
  <si>
    <t>Hor WF</t>
  </si>
  <si>
    <t>Vert</t>
  </si>
  <si>
    <t>Hor</t>
  </si>
  <si>
    <t>Silurain Guelph Oil</t>
  </si>
  <si>
    <t>Vert GF</t>
  </si>
  <si>
    <t>Hor GF</t>
  </si>
  <si>
    <t>OOIP fctr</t>
  </si>
  <si>
    <t>OGIP fctr</t>
  </si>
  <si>
    <t>Prod wells</t>
  </si>
  <si>
    <t>(acre/well)</t>
  </si>
  <si>
    <t>Inj wells</t>
  </si>
  <si>
    <t>Rec</t>
  </si>
  <si>
    <t>Recoverable Res</t>
  </si>
  <si>
    <t>Production/Reserves</t>
  </si>
  <si>
    <t xml:space="preserve">  Initial Prod Rate</t>
  </si>
  <si>
    <t>Economic Indicators</t>
  </si>
  <si>
    <t>Net Present Value</t>
  </si>
  <si>
    <t>Pool Op Costs</t>
  </si>
  <si>
    <t>Fixed</t>
  </si>
  <si>
    <t>Variable</t>
  </si>
  <si>
    <t>($k/mo)</t>
  </si>
  <si>
    <t>Capital Costs</t>
  </si>
  <si>
    <t>Wells</t>
  </si>
  <si>
    <t>Fac</t>
  </si>
  <si>
    <t>Ttl</t>
  </si>
  <si>
    <t>per well</t>
  </si>
  <si>
    <t>pool</t>
  </si>
  <si>
    <t>(bpd/w) (Mcfd/w)</t>
  </si>
  <si>
    <t>(bpd) (Mcfd)</t>
  </si>
  <si>
    <t xml:space="preserve">ac Horiz prod'n well spcg, </t>
  </si>
  <si>
    <t>ac Vertical injection well spacing</t>
  </si>
  <si>
    <t>ac spacing horizontal wells</t>
  </si>
  <si>
    <t xml:space="preserve">ac/Horiz production well, </t>
  </si>
  <si>
    <t>ac/vertical injection well</t>
  </si>
  <si>
    <t>ac spacing gas reinjection wells for pressure maintenance</t>
  </si>
  <si>
    <t>ac hor well spacing w/</t>
  </si>
  <si>
    <t>Cambrian Oil Pools</t>
  </si>
  <si>
    <t>Cambrian Gas Pools</t>
  </si>
  <si>
    <t>Equipping: Vertical gas production well</t>
  </si>
  <si>
    <t>Equipping: Horizontal gas production well</t>
  </si>
  <si>
    <t xml:space="preserve">Compressor station costs (Disp well, compressor, dehy, meter) </t>
  </si>
  <si>
    <t>Cambrian Gas Vertical Pool Development Economics</t>
  </si>
  <si>
    <t>ac hor well spacing</t>
  </si>
  <si>
    <t>Compressor site</t>
  </si>
  <si>
    <t>Cambrian Gas Horizontal Pool Development Economics</t>
  </si>
  <si>
    <t>Silurian Clinton/Cataract Gas Pools</t>
  </si>
  <si>
    <t>Silurian A-1/Guelph/Clinton pool development</t>
  </si>
  <si>
    <t>D&amp;A costs: Vertical Silurian/Guelph/Clinton-depth well</t>
  </si>
  <si>
    <t>D&amp;A costs: Horizontal Silurian/Guelph/Clinton-depth well</t>
  </si>
  <si>
    <t>Completion costs: Vertical Clinton-depth well</t>
  </si>
  <si>
    <t>Completion costs: Horizontal Clinton-depth well</t>
  </si>
  <si>
    <t>Equipping costs: Vertical Silurian/Guelph/Clinton-depth Producing Gas well</t>
  </si>
  <si>
    <t>Equipping costs: Horizotal Silurian/Guelph/Clinton-depth Producing Gas well</t>
  </si>
  <si>
    <t>Silurian Clinton Gas Vertical Pool Development Economics</t>
  </si>
  <si>
    <t>Silurian Clinton Gas Horizontal Pool Development Economics</t>
  </si>
  <si>
    <t>Ordovician Gas Pools</t>
  </si>
  <si>
    <t>Ordovician Gas Vertical Pool Development Economics</t>
  </si>
  <si>
    <t>Ordovician Gas Horizontal Pool Development Economics</t>
  </si>
  <si>
    <t>Ordovician study</t>
  </si>
  <si>
    <t>Mosald</t>
  </si>
  <si>
    <t>Innerkip NP</t>
  </si>
  <si>
    <t>Reserve Calculation Table</t>
  </si>
  <si>
    <t>Water</t>
  </si>
  <si>
    <t>FVF</t>
  </si>
  <si>
    <t>Assumed Depth</t>
  </si>
  <si>
    <t>Ø</t>
  </si>
  <si>
    <t>Sat'n</t>
  </si>
  <si>
    <t>(psia)</t>
  </si>
  <si>
    <r>
      <t>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</si>
  <si>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F)</t>
    </r>
  </si>
  <si>
    <t>Silurian Guelph Gas</t>
  </si>
  <si>
    <r>
      <t>(Rm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/STm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</si>
  <si>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Compr</t>
  </si>
  <si>
    <t xml:space="preserve">      OOIP Factor</t>
  </si>
  <si>
    <t>(103m3/ha-m)</t>
  </si>
  <si>
    <t xml:space="preserve">       OGIP Factor</t>
  </si>
  <si>
    <t xml:space="preserve">    Res Press</t>
  </si>
  <si>
    <t xml:space="preserve">   Res Temp</t>
  </si>
  <si>
    <t>Ashfield</t>
  </si>
  <si>
    <t>Silurian Guelph Gas Vertical Pool Development Economics</t>
  </si>
  <si>
    <t>Silurian Guelph Oil Vertical Waterflood Economics</t>
  </si>
  <si>
    <t>Silurian Guelph Gas Horizontal Pool Development Economics</t>
  </si>
  <si>
    <t>($/Bbl,$/Mcf)</t>
  </si>
  <si>
    <t>Battery, compressor</t>
  </si>
  <si>
    <t>Compressor costs (compressor, dehy, choke plant, gas sales site)</t>
  </si>
  <si>
    <t>Battery Costs (Disp well, water well, injection pump, tanks, compressor):</t>
  </si>
  <si>
    <t>Silurian A1/A2 Gas Pool Development</t>
  </si>
  <si>
    <t>$/$ of dev costs</t>
  </si>
  <si>
    <t>2011 Act</t>
  </si>
  <si>
    <t>2012 Act</t>
  </si>
  <si>
    <t>2013 Act</t>
  </si>
  <si>
    <t>2014 Act</t>
  </si>
  <si>
    <t>2015 Act</t>
  </si>
  <si>
    <t>2016 Act</t>
  </si>
  <si>
    <t>Srns-Edm</t>
  </si>
  <si>
    <t xml:space="preserve">Ont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</si>
</sst>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"/>
    <numFmt numFmtId="166" formatCode="0.0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??_);_(@_)"/>
    <numFmt numFmtId="176" formatCode="&quot;$&quot;#,##0.0;[Red]\-&quot;$&quot;#,##0.0"/>
    <numFmt numFmtId="177" formatCode="[$-409]mmm\-yy;@"/>
    <numFmt numFmtId="178" formatCode="_(&quot;$&quot;* #,##0.0_);_(&quot;$&quot;* \(#,##0.0\);_(&quot;$&quot;* &quot;-&quot;??_);_(@_)"/>
    <numFmt numFmtId="179" formatCode="0.000"/>
    <numFmt numFmtId="180" formatCode="&quot;$&quot;#,##0"/>
    <numFmt numFmtId="181" formatCode="&quot;$&quot;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2"/>
      <name val="Geneva"/>
    </font>
    <font>
      <vertAlign val="subscript"/>
      <sz val="10"/>
      <name val="Geneva"/>
    </font>
    <font>
      <sz val="12"/>
      <name val="Arial"/>
      <family val="2"/>
    </font>
    <font>
      <vertAlign val="superscript"/>
      <sz val="10"/>
      <name val="Geneva"/>
    </font>
    <font>
      <sz val="12"/>
      <name val="Arial"/>
      <family val="2"/>
    </font>
    <font>
      <sz val="9"/>
      <name val="Arial"/>
      <family val="2"/>
    </font>
    <font>
      <sz val="8"/>
      <name val="Geneva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/>
    <xf numFmtId="174" fontId="8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  <xf numFmtId="6" fontId="0" fillId="0" borderId="0" xfId="0" applyNumberFormat="1"/>
    <xf numFmtId="9" fontId="0" fillId="0" borderId="0" xfId="2" applyFont="1"/>
    <xf numFmtId="166" fontId="0" fillId="0" borderId="0" xfId="0" applyNumberFormat="1"/>
    <xf numFmtId="1" fontId="0" fillId="0" borderId="0" xfId="0" applyNumberFormat="1"/>
    <xf numFmtId="167" fontId="0" fillId="0" borderId="0" xfId="0" applyNumberFormat="1"/>
    <xf numFmtId="168" fontId="0" fillId="0" borderId="0" xfId="1" applyNumberFormat="1" applyFont="1"/>
    <xf numFmtId="169" fontId="0" fillId="0" borderId="0" xfId="1" applyNumberFormat="1" applyFont="1"/>
    <xf numFmtId="0" fontId="3" fillId="0" borderId="0" xfId="4"/>
    <xf numFmtId="0" fontId="4" fillId="0" borderId="0" xfId="4" applyFont="1"/>
    <xf numFmtId="0" fontId="3" fillId="0" borderId="0" xfId="4" applyFont="1"/>
    <xf numFmtId="170" fontId="3" fillId="0" borderId="0" xfId="5" applyFont="1"/>
    <xf numFmtId="10" fontId="3" fillId="0" borderId="0" xfId="6" applyNumberFormat="1" applyFont="1"/>
    <xf numFmtId="0" fontId="3" fillId="0" borderId="0" xfId="4" quotePrefix="1" applyFont="1"/>
    <xf numFmtId="171" fontId="3" fillId="0" borderId="0" xfId="5" applyNumberFormat="1" applyFont="1"/>
    <xf numFmtId="172" fontId="3" fillId="0" borderId="0" xfId="5" applyNumberFormat="1" applyFont="1"/>
    <xf numFmtId="173" fontId="3" fillId="0" borderId="0" xfId="4" applyNumberFormat="1"/>
    <xf numFmtId="9" fontId="3" fillId="0" borderId="0" xfId="6" applyFont="1"/>
    <xf numFmtId="174" fontId="3" fillId="0" borderId="0" xfId="4" applyNumberFormat="1"/>
    <xf numFmtId="0" fontId="3" fillId="0" borderId="0" xfId="4" quotePrefix="1"/>
    <xf numFmtId="175" fontId="3" fillId="0" borderId="0" xfId="7" applyNumberFormat="1" applyFont="1"/>
    <xf numFmtId="9" fontId="3" fillId="0" borderId="0" xfId="4" applyNumberFormat="1"/>
    <xf numFmtId="167" fontId="3" fillId="0" borderId="0" xfId="6" applyNumberFormat="1" applyFont="1"/>
    <xf numFmtId="10" fontId="3" fillId="0" borderId="0" xfId="4" applyNumberFormat="1"/>
    <xf numFmtId="0" fontId="3" fillId="0" borderId="0" xfId="4" applyAlignment="1">
      <alignment horizontal="center"/>
    </xf>
    <xf numFmtId="176" fontId="3" fillId="0" borderId="0" xfId="4" applyNumberFormat="1"/>
    <xf numFmtId="0" fontId="3" fillId="0" borderId="0" xfId="4" applyFont="1" applyAlignment="1">
      <alignment horizontal="center"/>
    </xf>
    <xf numFmtId="176" fontId="3" fillId="0" borderId="0" xfId="4" applyNumberFormat="1" applyFont="1"/>
    <xf numFmtId="170" fontId="3" fillId="0" borderId="0" xfId="4" applyNumberFormat="1"/>
    <xf numFmtId="171" fontId="3" fillId="0" borderId="0" xfId="4" applyNumberFormat="1"/>
    <xf numFmtId="177" fontId="2" fillId="0" borderId="0" xfId="8" applyNumberFormat="1" applyFont="1"/>
    <xf numFmtId="171" fontId="2" fillId="0" borderId="0" xfId="5" applyNumberFormat="1" applyFont="1"/>
    <xf numFmtId="170" fontId="3" fillId="0" borderId="0" xfId="5" applyNumberFormat="1" applyFont="1"/>
    <xf numFmtId="44" fontId="3" fillId="0" borderId="0" xfId="4" applyNumberFormat="1"/>
    <xf numFmtId="177" fontId="3" fillId="0" borderId="0" xfId="4" applyNumberFormat="1"/>
    <xf numFmtId="170" fontId="2" fillId="0" borderId="0" xfId="5" applyFont="1"/>
    <xf numFmtId="178" fontId="3" fillId="0" borderId="0" xfId="7" applyNumberFormat="1" applyFont="1"/>
    <xf numFmtId="165" fontId="3" fillId="0" borderId="0" xfId="4" applyNumberFormat="1"/>
    <xf numFmtId="165" fontId="3" fillId="0" borderId="0" xfId="7" applyNumberFormat="1" applyFont="1"/>
    <xf numFmtId="165" fontId="3" fillId="0" borderId="0" xfId="4" applyNumberFormat="1" applyAlignment="1">
      <alignment horizontal="center"/>
    </xf>
    <xf numFmtId="9" fontId="0" fillId="0" borderId="0" xfId="0" applyNumberFormat="1"/>
    <xf numFmtId="172" fontId="3" fillId="0" borderId="0" xfId="4" applyNumberFormat="1"/>
    <xf numFmtId="0" fontId="8" fillId="0" borderId="0" xfId="8"/>
    <xf numFmtId="0" fontId="8" fillId="0" borderId="1" xfId="8" applyBorder="1"/>
    <xf numFmtId="0" fontId="8" fillId="0" borderId="2" xfId="8" applyBorder="1"/>
    <xf numFmtId="0" fontId="8" fillId="0" borderId="3" xfId="8" applyBorder="1"/>
    <xf numFmtId="0" fontId="8" fillId="0" borderId="0" xfId="8" applyAlignment="1">
      <alignment horizontal="center"/>
    </xf>
    <xf numFmtId="0" fontId="8" fillId="0" borderId="5" xfId="8" applyBorder="1" applyAlignment="1">
      <alignment horizontal="center"/>
    </xf>
    <xf numFmtId="0" fontId="8" fillId="0" borderId="0" xfId="8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8" fillId="0" borderId="5" xfId="8" applyBorder="1"/>
    <xf numFmtId="0" fontId="8" fillId="0" borderId="0" xfId="8" applyBorder="1"/>
    <xf numFmtId="0" fontId="8" fillId="0" borderId="5" xfId="8" applyFill="1" applyBorder="1" applyAlignment="1">
      <alignment horizontal="center"/>
    </xf>
    <xf numFmtId="0" fontId="9" fillId="0" borderId="5" xfId="8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174" fontId="0" fillId="0" borderId="5" xfId="9" applyFont="1" applyBorder="1"/>
    <xf numFmtId="44" fontId="0" fillId="0" borderId="0" xfId="9" applyNumberFormat="1" applyFont="1" applyBorder="1"/>
    <xf numFmtId="174" fontId="0" fillId="0" borderId="0" xfId="9" applyFont="1" applyBorder="1"/>
    <xf numFmtId="174" fontId="0" fillId="0" borderId="5" xfId="9" applyNumberFormat="1" applyFont="1" applyBorder="1"/>
    <xf numFmtId="44" fontId="8" fillId="0" borderId="0" xfId="8" applyNumberFormat="1" applyBorder="1"/>
    <xf numFmtId="0" fontId="10" fillId="0" borderId="0" xfId="4" applyFont="1"/>
    <xf numFmtId="0" fontId="0" fillId="0" borderId="0" xfId="0" applyAlignment="1">
      <alignment horizontal="right"/>
    </xf>
    <xf numFmtId="167" fontId="0" fillId="0" borderId="0" xfId="2" applyNumberFormat="1" applyFont="1"/>
    <xf numFmtId="17" fontId="0" fillId="0" borderId="0" xfId="0" quotePrefix="1" applyNumberForma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9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1" applyNumberFormat="1" applyFont="1"/>
    <xf numFmtId="1" fontId="3" fillId="0" borderId="0" xfId="5" applyNumberFormat="1" applyFont="1"/>
    <xf numFmtId="1" fontId="3" fillId="0" borderId="0" xfId="4" applyNumberFormat="1"/>
    <xf numFmtId="180" fontId="0" fillId="0" borderId="0" xfId="0" applyNumberFormat="1"/>
    <xf numFmtId="0" fontId="10" fillId="0" borderId="0" xfId="4" applyFont="1" applyAlignment="1">
      <alignment horizontal="center"/>
    </xf>
    <xf numFmtId="166" fontId="3" fillId="0" borderId="0" xfId="5" applyNumberFormat="1" applyFont="1"/>
    <xf numFmtId="0" fontId="12" fillId="0" borderId="0" xfId="0" applyFont="1"/>
    <xf numFmtId="0" fontId="0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164" fontId="3" fillId="0" borderId="0" xfId="4" applyNumberFormat="1"/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/>
    <xf numFmtId="1" fontId="0" fillId="0" borderId="9" xfId="0" applyNumberFormat="1" applyBorder="1" applyAlignment="1">
      <alignment horizontal="center"/>
    </xf>
    <xf numFmtId="9" fontId="0" fillId="0" borderId="9" xfId="2" applyNumberFormat="1" applyFont="1" applyBorder="1"/>
    <xf numFmtId="9" fontId="0" fillId="0" borderId="9" xfId="2" applyNumberFormat="1" applyFont="1" applyBorder="1" applyAlignment="1">
      <alignment horizontal="center"/>
    </xf>
    <xf numFmtId="169" fontId="0" fillId="0" borderId="9" xfId="1" applyNumberFormat="1" applyFont="1" applyBorder="1"/>
    <xf numFmtId="0" fontId="0" fillId="0" borderId="9" xfId="0" applyBorder="1" applyAlignment="1">
      <alignment horizontal="center"/>
    </xf>
    <xf numFmtId="169" fontId="0" fillId="0" borderId="9" xfId="1" applyNumberFormat="1" applyFont="1" applyBorder="1" applyAlignment="1">
      <alignment horizontal="center"/>
    </xf>
    <xf numFmtId="166" fontId="0" fillId="0" borderId="9" xfId="0" applyNumberFormat="1" applyBorder="1"/>
    <xf numFmtId="1" fontId="0" fillId="0" borderId="9" xfId="0" applyNumberFormat="1" applyBorder="1"/>
    <xf numFmtId="168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67" fontId="0" fillId="0" borderId="9" xfId="0" applyNumberFormat="1" applyBorder="1"/>
    <xf numFmtId="167" fontId="0" fillId="0" borderId="9" xfId="2" applyNumberFormat="1" applyFont="1" applyBorder="1"/>
    <xf numFmtId="0" fontId="0" fillId="0" borderId="10" xfId="0" applyBorder="1"/>
    <xf numFmtId="0" fontId="0" fillId="0" borderId="11" xfId="0" applyBorder="1"/>
    <xf numFmtId="180" fontId="0" fillId="0" borderId="9" xfId="0" applyNumberFormat="1" applyBorder="1"/>
    <xf numFmtId="180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80" fontId="0" fillId="0" borderId="12" xfId="0" applyNumberFormat="1" applyBorder="1"/>
    <xf numFmtId="0" fontId="0" fillId="0" borderId="13" xfId="0" applyBorder="1"/>
    <xf numFmtId="0" fontId="0" fillId="0" borderId="12" xfId="0" applyBorder="1"/>
    <xf numFmtId="0" fontId="16" fillId="0" borderId="0" xfId="0" applyFont="1"/>
    <xf numFmtId="0" fontId="17" fillId="0" borderId="1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9" fillId="0" borderId="0" xfId="8" applyFont="1" applyAlignment="1">
      <alignment horizontal="center"/>
    </xf>
    <xf numFmtId="0" fontId="9" fillId="0" borderId="4" xfId="8" applyFont="1" applyBorder="1" applyAlignment="1">
      <alignment horizontal="center"/>
    </xf>
    <xf numFmtId="164" fontId="0" fillId="0" borderId="0" xfId="9" applyNumberFormat="1" applyFont="1" applyAlignment="1">
      <alignment horizontal="center"/>
    </xf>
    <xf numFmtId="164" fontId="0" fillId="0" borderId="4" xfId="9" applyNumberFormat="1" applyFont="1" applyBorder="1" applyAlignment="1">
      <alignment horizontal="center"/>
    </xf>
    <xf numFmtId="0" fontId="17" fillId="0" borderId="0" xfId="8" applyFont="1" applyBorder="1" applyAlignment="1">
      <alignment horizontal="center"/>
    </xf>
    <xf numFmtId="0" fontId="9" fillId="0" borderId="0" xfId="8" applyFont="1" applyFill="1" applyBorder="1" applyAlignment="1">
      <alignment horizontal="center"/>
    </xf>
    <xf numFmtId="0" fontId="9" fillId="0" borderId="6" xfId="8" applyFont="1" applyBorder="1" applyAlignment="1">
      <alignment horizontal="center"/>
    </xf>
    <xf numFmtId="0" fontId="9" fillId="0" borderId="7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19" fillId="0" borderId="2" xfId="8" applyFont="1" applyBorder="1" applyAlignment="1">
      <alignment horizontal="center"/>
    </xf>
    <xf numFmtId="0" fontId="19" fillId="0" borderId="3" xfId="8" applyFont="1" applyBorder="1" applyAlignment="1">
      <alignment horizontal="center"/>
    </xf>
    <xf numFmtId="164" fontId="20" fillId="0" borderId="0" xfId="9" applyNumberFormat="1" applyFont="1" applyAlignment="1">
      <alignment horizontal="center"/>
    </xf>
    <xf numFmtId="181" fontId="20" fillId="0" borderId="0" xfId="9" applyNumberFormat="1" applyFont="1" applyAlignment="1">
      <alignment horizontal="center"/>
    </xf>
    <xf numFmtId="0" fontId="8" fillId="0" borderId="15" xfId="8" applyBorder="1"/>
    <xf numFmtId="0" fontId="9" fillId="0" borderId="14" xfId="8" applyFont="1" applyBorder="1" applyAlignment="1">
      <alignment horizontal="center"/>
    </xf>
    <xf numFmtId="0" fontId="17" fillId="0" borderId="15" xfId="8" applyFont="1" applyBorder="1" applyAlignment="1">
      <alignment horizontal="center"/>
    </xf>
    <xf numFmtId="164" fontId="20" fillId="0" borderId="14" xfId="9" applyNumberFormat="1" applyFont="1" applyBorder="1" applyAlignment="1">
      <alignment horizontal="center"/>
    </xf>
    <xf numFmtId="164" fontId="20" fillId="0" borderId="0" xfId="9" applyNumberFormat="1" applyFont="1" applyBorder="1" applyAlignment="1">
      <alignment horizontal="center"/>
    </xf>
    <xf numFmtId="0" fontId="2" fillId="0" borderId="14" xfId="8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8" fillId="0" borderId="16" xfId="8" applyBorder="1"/>
    <xf numFmtId="0" fontId="2" fillId="0" borderId="17" xfId="8" applyFont="1" applyBorder="1" applyAlignment="1">
      <alignment horizontal="center"/>
    </xf>
    <xf numFmtId="0" fontId="17" fillId="0" borderId="16" xfId="8" applyFont="1" applyBorder="1" applyAlignment="1">
      <alignment horizontal="center"/>
    </xf>
    <xf numFmtId="164" fontId="20" fillId="0" borderId="17" xfId="9" applyNumberFormat="1" applyFont="1" applyBorder="1" applyAlignment="1">
      <alignment horizontal="center"/>
    </xf>
    <xf numFmtId="0" fontId="21" fillId="0" borderId="0" xfId="8" applyFont="1"/>
    <xf numFmtId="0" fontId="21" fillId="0" borderId="0" xfId="8" applyFont="1" applyAlignment="1">
      <alignment horizontal="center"/>
    </xf>
    <xf numFmtId="164" fontId="0" fillId="0" borderId="8" xfId="9" applyNumberFormat="1" applyFont="1" applyBorder="1" applyAlignment="1">
      <alignment horizontal="center"/>
    </xf>
    <xf numFmtId="181" fontId="0" fillId="0" borderId="6" xfId="9" applyNumberFormat="1" applyFont="1" applyBorder="1" applyAlignment="1">
      <alignment horizontal="center"/>
    </xf>
    <xf numFmtId="164" fontId="8" fillId="0" borderId="0" xfId="8" applyNumberFormat="1" applyAlignment="1">
      <alignment horizontal="center"/>
    </xf>
    <xf numFmtId="164" fontId="0" fillId="0" borderId="5" xfId="9" applyNumberFormat="1" applyFont="1" applyBorder="1" applyAlignment="1">
      <alignment horizontal="center"/>
    </xf>
    <xf numFmtId="181" fontId="0" fillId="0" borderId="0" xfId="9" applyNumberFormat="1" applyFont="1" applyBorder="1" applyAlignment="1">
      <alignment horizontal="center"/>
    </xf>
  </cellXfs>
  <cellStyles count="10">
    <cellStyle name="Comma" xfId="1" builtinId="3"/>
    <cellStyle name="Comma 2" xfId="5"/>
    <cellStyle name="Currency 2" xfId="7"/>
    <cellStyle name="Currency 3" xfId="9"/>
    <cellStyle name="Normal" xfId="0" builtinId="0"/>
    <cellStyle name="Normal 2" xfId="3"/>
    <cellStyle name="Normal 3" xfId="8"/>
    <cellStyle name="Normal_12-31-04 Block wells" xfId="4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NPV/Dev Cost at Various Discount Rates</a:t>
            </a:r>
          </a:p>
          <a:p>
            <a:pPr>
              <a:defRPr/>
            </a:pPr>
            <a:r>
              <a:rPr lang="en-US" sz="1200" b="1"/>
              <a:t>Oil Pools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9284565235797"/>
          <c:y val="0.13809760132340779"/>
          <c:w val="0.86687816442299548"/>
          <c:h val="0.56983151299635937"/>
        </c:manualLayout>
      </c:layout>
      <c:scatterChart>
        <c:scatterStyle val="smoothMarker"/>
        <c:varyColors val="0"/>
        <c:ser>
          <c:idx val="0"/>
          <c:order val="0"/>
          <c:tx>
            <c:v>Devonian Oil Vertical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'Dev vert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'Dev vert ec'!$E$31:$E$36</c:f>
              <c:numCache>
                <c:formatCode>"$"#,##0.00</c:formatCode>
                <c:ptCount val="6"/>
                <c:pt idx="0">
                  <c:v>20.51293845939804</c:v>
                </c:pt>
                <c:pt idx="1">
                  <c:v>10.492012700618915</c:v>
                </c:pt>
                <c:pt idx="2">
                  <c:v>5.696848741637953</c:v>
                </c:pt>
                <c:pt idx="3">
                  <c:v>4.2852675694418823</c:v>
                </c:pt>
                <c:pt idx="4">
                  <c:v>3.2636283670392143</c:v>
                </c:pt>
                <c:pt idx="5">
                  <c:v>1.954073488444535</c:v>
                </c:pt>
              </c:numCache>
            </c:numRef>
          </c:yVal>
          <c:smooth val="1"/>
        </c:ser>
        <c:ser>
          <c:idx val="1"/>
          <c:order val="1"/>
          <c:tx>
            <c:v>Devonian Oil Horizontal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'Dev hor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'Dev hor ec'!$E$31:$E$36</c:f>
              <c:numCache>
                <c:formatCode>"$"#,##0.00</c:formatCode>
                <c:ptCount val="6"/>
                <c:pt idx="0">
                  <c:v>15.04997224829545</c:v>
                </c:pt>
                <c:pt idx="1">
                  <c:v>8.2041833401085871</c:v>
                </c:pt>
                <c:pt idx="2">
                  <c:v>4.7812314564950498</c:v>
                </c:pt>
                <c:pt idx="3">
                  <c:v>3.7327190261806265</c:v>
                </c:pt>
                <c:pt idx="4">
                  <c:v>2.9528343545519169</c:v>
                </c:pt>
                <c:pt idx="5">
                  <c:v>1.9109910813563569</c:v>
                </c:pt>
              </c:numCache>
            </c:numRef>
          </c:yVal>
          <c:smooth val="1"/>
        </c:ser>
        <c:ser>
          <c:idx val="2"/>
          <c:order val="2"/>
          <c:tx>
            <c:v>Silurian Guelph Oil Vertical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</c:dPt>
          <c:xVal>
            <c:numRef>
              <c:f>'Sil Gu Oil vert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Gu Oil vert ec'!$E$31:$E$36</c:f>
              <c:numCache>
                <c:formatCode>"$"#,##0.00</c:formatCode>
                <c:ptCount val="6"/>
                <c:pt idx="0">
                  <c:v>5.250354078745282</c:v>
                </c:pt>
                <c:pt idx="1">
                  <c:v>3.7656892412694809</c:v>
                </c:pt>
                <c:pt idx="2">
                  <c:v>2.7871421094005946</c:v>
                </c:pt>
                <c:pt idx="3">
                  <c:v>2.4202933176248189</c:v>
                </c:pt>
                <c:pt idx="4">
                  <c:v>2.1125169838436375</c:v>
                </c:pt>
                <c:pt idx="5">
                  <c:v>1.6297601406530422</c:v>
                </c:pt>
              </c:numCache>
            </c:numRef>
          </c:yVal>
          <c:smooth val="1"/>
        </c:ser>
        <c:ser>
          <c:idx val="3"/>
          <c:order val="3"/>
          <c:tx>
            <c:v>Silurian Guelph Oil Horizontal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'Sil Gu Oil hor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Gu Oil hor ec'!$E$31:$E$36</c:f>
              <c:numCache>
                <c:formatCode>"$"#,##0.00</c:formatCode>
                <c:ptCount val="6"/>
                <c:pt idx="0">
                  <c:v>12.280786211208097</c:v>
                </c:pt>
                <c:pt idx="1">
                  <c:v>9.0278646766893171</c:v>
                </c:pt>
                <c:pt idx="2">
                  <c:v>6.8984178709255417</c:v>
                </c:pt>
                <c:pt idx="3">
                  <c:v>6.1009045269392441</c:v>
                </c:pt>
                <c:pt idx="4">
                  <c:v>5.4310665080839327</c:v>
                </c:pt>
                <c:pt idx="5">
                  <c:v>4.3766176316621292</c:v>
                </c:pt>
              </c:numCache>
            </c:numRef>
          </c:yVal>
          <c:smooth val="1"/>
        </c:ser>
        <c:ser>
          <c:idx val="4"/>
          <c:order val="4"/>
          <c:tx>
            <c:v>Ordovician Oil Vertical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'Ord vert oil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'Ord vert oil ec'!$E$31:$E$36</c:f>
              <c:numCache>
                <c:formatCode>"$"#,##0.00</c:formatCode>
                <c:ptCount val="6"/>
                <c:pt idx="0">
                  <c:v>11.178755991014992</c:v>
                </c:pt>
                <c:pt idx="1">
                  <c:v>8.057710544038116</c:v>
                </c:pt>
                <c:pt idx="2">
                  <c:v>6.0599935704929342</c:v>
                </c:pt>
                <c:pt idx="3">
                  <c:v>5.3226499985483064</c:v>
                </c:pt>
                <c:pt idx="4">
                  <c:v>4.7083570332914935</c:v>
                </c:pt>
                <c:pt idx="5">
                  <c:v>3.7512325877880199</c:v>
                </c:pt>
              </c:numCache>
            </c:numRef>
          </c:yVal>
          <c:smooth val="1"/>
        </c:ser>
        <c:ser>
          <c:idx val="5"/>
          <c:order val="5"/>
          <c:tx>
            <c:v>Ordovician Oil Horizontal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'Ord hor oil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'Ord hor oil ec'!$E$31:$E$36</c:f>
              <c:numCache>
                <c:formatCode>"$"#,##0.00</c:formatCode>
                <c:ptCount val="6"/>
                <c:pt idx="0">
                  <c:v>15.645260979323142</c:v>
                </c:pt>
                <c:pt idx="1">
                  <c:v>11.52836155695195</c:v>
                </c:pt>
                <c:pt idx="2">
                  <c:v>8.8439374089020273</c:v>
                </c:pt>
                <c:pt idx="3">
                  <c:v>7.8404161145474314</c:v>
                </c:pt>
                <c:pt idx="4">
                  <c:v>6.9981058851470239</c:v>
                </c:pt>
                <c:pt idx="5">
                  <c:v>5.6726320630649276</c:v>
                </c:pt>
              </c:numCache>
            </c:numRef>
          </c:yVal>
          <c:smooth val="1"/>
        </c:ser>
        <c:ser>
          <c:idx val="6"/>
          <c:order val="6"/>
          <c:tx>
            <c:v>Cambrian Oil Vertical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'Cam vert oil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'Cam vert oil ec'!$E$31:$E$36</c:f>
              <c:numCache>
                <c:formatCode>"$"#,##0.00</c:formatCode>
                <c:ptCount val="6"/>
                <c:pt idx="0">
                  <c:v>9.3165604911069586</c:v>
                </c:pt>
                <c:pt idx="1">
                  <c:v>5.70443449400139</c:v>
                </c:pt>
                <c:pt idx="2">
                  <c:v>3.7180641992954064</c:v>
                </c:pt>
                <c:pt idx="3">
                  <c:v>3.0602015583809963</c:v>
                </c:pt>
                <c:pt idx="4">
                  <c:v>2.5458801320731612</c:v>
                </c:pt>
                <c:pt idx="5">
                  <c:v>1.8088444359818014</c:v>
                </c:pt>
              </c:numCache>
            </c:numRef>
          </c:yVal>
          <c:smooth val="1"/>
        </c:ser>
        <c:ser>
          <c:idx val="7"/>
          <c:order val="7"/>
          <c:tx>
            <c:v>Cambrian Oil Horizontal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5"/>
            <c:marker>
              <c:symbol val="diamond"/>
              <c:size val="8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</c:dPt>
          <c:xVal>
            <c:numRef>
              <c:f>'Cam hor oil ec'!$A$31:$A$36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'Cam hor oil ec'!$E$31:$E$36</c:f>
              <c:numCache>
                <c:formatCode>"$"#,##0.00</c:formatCode>
                <c:ptCount val="6"/>
                <c:pt idx="0">
                  <c:v>15.325877077287107</c:v>
                </c:pt>
                <c:pt idx="1">
                  <c:v>9.2947598584194786</c:v>
                </c:pt>
                <c:pt idx="2">
                  <c:v>6.049252817965689</c:v>
                </c:pt>
                <c:pt idx="3">
                  <c:v>4.9916568702782875</c:v>
                </c:pt>
                <c:pt idx="4">
                  <c:v>4.1726658406058448</c:v>
                </c:pt>
                <c:pt idx="5">
                  <c:v>3.0133243936893943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23872"/>
        <c:axId val="312724656"/>
      </c:scatterChart>
      <c:valAx>
        <c:axId val="312723872"/>
        <c:scaling>
          <c:orientation val="minMax"/>
          <c:max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Discount Rate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24656"/>
        <c:crossesAt val="-2"/>
        <c:crossBetween val="midCat"/>
      </c:valAx>
      <c:valAx>
        <c:axId val="312724656"/>
        <c:scaling>
          <c:orientation val="minMax"/>
          <c:max val="14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$NPV/$ Dev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23872"/>
        <c:crossesAt val="-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056980780628214E-2"/>
          <c:y val="0.83746781032023598"/>
          <c:w val="0.92094301921937172"/>
          <c:h val="0.1385553232644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NPV/Dev Cost at Various Discount Rates</a:t>
            </a:r>
          </a:p>
          <a:p>
            <a:pPr>
              <a:defRPr/>
            </a:pPr>
            <a:r>
              <a:rPr lang="en-US" sz="1200" b="1"/>
              <a:t>Gas Pools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40157480314958E-2"/>
          <c:y val="0.14471464019851116"/>
          <c:w val="0.86687816442299548"/>
          <c:h val="0.56983151299635937"/>
        </c:manualLayout>
      </c:layout>
      <c:scatterChart>
        <c:scatterStyle val="smoothMarker"/>
        <c:varyColors val="0"/>
        <c:ser>
          <c:idx val="0"/>
          <c:order val="0"/>
          <c:tx>
            <c:v>Silurian A-1 Gas Vertical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'Sil A1 vert'!$A$32:$A$37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A1 vert'!$E$32:$E$37</c:f>
              <c:numCache>
                <c:formatCode>"$"#,##0.00</c:formatCode>
                <c:ptCount val="6"/>
                <c:pt idx="0">
                  <c:v>-0.38317058424004452</c:v>
                </c:pt>
                <c:pt idx="1">
                  <c:v>-0.41399747920014029</c:v>
                </c:pt>
                <c:pt idx="2">
                  <c:v>-0.44594175505032319</c:v>
                </c:pt>
                <c:pt idx="3">
                  <c:v>-0.45982722768832957</c:v>
                </c:pt>
                <c:pt idx="4">
                  <c:v>-0.4719114494945883</c:v>
                </c:pt>
                <c:pt idx="5">
                  <c:v>-0.49063222176730464</c:v>
                </c:pt>
              </c:numCache>
            </c:numRef>
          </c:yVal>
          <c:smooth val="1"/>
        </c:ser>
        <c:ser>
          <c:idx val="1"/>
          <c:order val="1"/>
          <c:tx>
            <c:v>Silurian A-1 Gas Horizontal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'Sil A1 hor'!$A$32:$A$37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A1 hor'!$E$32:$E$37</c:f>
              <c:numCache>
                <c:formatCode>"$"#,##0.00</c:formatCode>
                <c:ptCount val="6"/>
                <c:pt idx="0">
                  <c:v>-0.31281672614402195</c:v>
                </c:pt>
                <c:pt idx="1">
                  <c:v>-0.34775053876886591</c:v>
                </c:pt>
                <c:pt idx="2">
                  <c:v>-0.37812464833865739</c:v>
                </c:pt>
                <c:pt idx="3">
                  <c:v>-0.39104866676484795</c:v>
                </c:pt>
                <c:pt idx="4">
                  <c:v>-0.40242954278847753</c:v>
                </c:pt>
                <c:pt idx="5">
                  <c:v>-0.42081247157811608</c:v>
                </c:pt>
              </c:numCache>
            </c:numRef>
          </c:yVal>
          <c:smooth val="1"/>
        </c:ser>
        <c:ser>
          <c:idx val="2"/>
          <c:order val="2"/>
          <c:tx>
            <c:v>Silurian Guelph Gas Vertical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'Sil Gu gas ver ec 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Gu gas ver ec '!$E$32:$E$37</c:f>
              <c:numCache>
                <c:formatCode>"$"#,##0.00</c:formatCode>
                <c:ptCount val="6"/>
                <c:pt idx="0">
                  <c:v>5.3070085895605521</c:v>
                </c:pt>
                <c:pt idx="1">
                  <c:v>2.9290674823167566</c:v>
                </c:pt>
                <c:pt idx="2">
                  <c:v>1.6885420904747672</c:v>
                </c:pt>
                <c:pt idx="3">
                  <c:v>1.2948746598526011</c:v>
                </c:pt>
                <c:pt idx="4">
                  <c:v>0.99538870645569788</c:v>
                </c:pt>
                <c:pt idx="5">
                  <c:v>0.58257912012922541</c:v>
                </c:pt>
              </c:numCache>
            </c:numRef>
          </c:yVal>
          <c:smooth val="1"/>
        </c:ser>
        <c:ser>
          <c:idx val="3"/>
          <c:order val="3"/>
          <c:tx>
            <c:v>Silurian Guelph Gas Horizontal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'Sil Gu gas hor ec'!$A$32:$A$37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Gu gas hor ec'!$E$32:$E$37</c:f>
              <c:numCache>
                <c:formatCode>"$"#,##0.00</c:formatCode>
                <c:ptCount val="6"/>
                <c:pt idx="0">
                  <c:v>2.8638085141711924</c:v>
                </c:pt>
                <c:pt idx="1">
                  <c:v>2.1791327099222828</c:v>
                </c:pt>
                <c:pt idx="2">
                  <c:v>1.666055405486371</c:v>
                </c:pt>
                <c:pt idx="3">
                  <c:v>1.4596603228751754</c:v>
                </c:pt>
                <c:pt idx="4">
                  <c:v>1.2802839549485212</c:v>
                </c:pt>
                <c:pt idx="5">
                  <c:v>0.98723786620699661</c:v>
                </c:pt>
              </c:numCache>
            </c:numRef>
          </c:yVal>
          <c:smooth val="1"/>
        </c:ser>
        <c:ser>
          <c:idx val="4"/>
          <c:order val="4"/>
          <c:tx>
            <c:v>Silurian Clinton Gas Vertical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'Sil Clint gas vert'!$A$32:$A$37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Clint gas vert'!$E$32:$E$37</c:f>
              <c:numCache>
                <c:formatCode>"$"#,##0.00</c:formatCode>
                <c:ptCount val="6"/>
                <c:pt idx="0">
                  <c:v>-0.19564645044591697</c:v>
                </c:pt>
                <c:pt idx="1">
                  <c:v>-0.36124178959872827</c:v>
                </c:pt>
                <c:pt idx="2">
                  <c:v>-0.45600575853093389</c:v>
                </c:pt>
                <c:pt idx="3">
                  <c:v>-0.48699645488677989</c:v>
                </c:pt>
                <c:pt idx="4">
                  <c:v>-0.51038701058074054</c:v>
                </c:pt>
                <c:pt idx="5">
                  <c:v>-0.54076958706283118</c:v>
                </c:pt>
              </c:numCache>
            </c:numRef>
          </c:yVal>
          <c:smooth val="1"/>
        </c:ser>
        <c:ser>
          <c:idx val="5"/>
          <c:order val="5"/>
          <c:tx>
            <c:v>Silurian Clinton Gas Horizontal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triangle"/>
              <c:size val="8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triangle"/>
              <c:size val="6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</c:dPt>
          <c:xVal>
            <c:numRef>
              <c:f>'Sil Clint gas hor'!$A$32:$A$37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'Sil Clint gas hor'!$E$32:$E$37</c:f>
              <c:numCache>
                <c:formatCode>"$"#,##0.00</c:formatCode>
                <c:ptCount val="6"/>
                <c:pt idx="0">
                  <c:v>-0.19564645044591697</c:v>
                </c:pt>
                <c:pt idx="1">
                  <c:v>-0.36124178959872827</c:v>
                </c:pt>
                <c:pt idx="2">
                  <c:v>-0.45600575853093389</c:v>
                </c:pt>
                <c:pt idx="3">
                  <c:v>-0.48699645488677989</c:v>
                </c:pt>
                <c:pt idx="4">
                  <c:v>-0.51038701058074054</c:v>
                </c:pt>
                <c:pt idx="5">
                  <c:v>-0.54076958706283118</c:v>
                </c:pt>
              </c:numCache>
            </c:numRef>
          </c:yVal>
          <c:smooth val="1"/>
        </c:ser>
        <c:ser>
          <c:idx val="6"/>
          <c:order val="6"/>
          <c:tx>
            <c:v>Ordovician Gas Vertical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'Ord gas vert'!$A$32:$A$37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'Ord gas vert'!$E$32:$E$37</c:f>
              <c:numCache>
                <c:formatCode>"$"#,##0.00</c:formatCode>
                <c:ptCount val="6"/>
                <c:pt idx="0">
                  <c:v>0.87785967701249246</c:v>
                </c:pt>
                <c:pt idx="1">
                  <c:v>0.64035594729204826</c:v>
                </c:pt>
                <c:pt idx="2">
                  <c:v>0.45312128075331887</c:v>
                </c:pt>
                <c:pt idx="3">
                  <c:v>0.37515320011549042</c:v>
                </c:pt>
                <c:pt idx="4">
                  <c:v>0.30603791809773029</c:v>
                </c:pt>
                <c:pt idx="5">
                  <c:v>0.19027803551790798</c:v>
                </c:pt>
              </c:numCache>
            </c:numRef>
          </c:yVal>
          <c:smooth val="1"/>
        </c:ser>
        <c:ser>
          <c:idx val="7"/>
          <c:order val="7"/>
          <c:tx>
            <c:v>Ordovician Gas Horizontal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'Ord gas hor'!$A$32:$A$37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'Ord gas hor'!$E$32:$E$37</c:f>
              <c:numCache>
                <c:formatCode>"$"#,##0.00</c:formatCode>
                <c:ptCount val="6"/>
                <c:pt idx="0">
                  <c:v>0.66699793201702751</c:v>
                </c:pt>
                <c:pt idx="1">
                  <c:v>0.45717593465363671</c:v>
                </c:pt>
                <c:pt idx="2">
                  <c:v>0.2874380013976226</c:v>
                </c:pt>
                <c:pt idx="3">
                  <c:v>0.21661130548955276</c:v>
                </c:pt>
                <c:pt idx="4">
                  <c:v>0.15405910662963898</c:v>
                </c:pt>
                <c:pt idx="5">
                  <c:v>5.0308436160756018E-2</c:v>
                </c:pt>
              </c:numCache>
            </c:numRef>
          </c:yVal>
          <c:smooth val="1"/>
        </c:ser>
        <c:ser>
          <c:idx val="8"/>
          <c:order val="8"/>
          <c:tx>
            <c:v>Cambrian Gas Vertical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'Cam gas vert'!$A$32:$A$37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'Cam gas vert'!$E$32:$E$37</c:f>
              <c:numCache>
                <c:formatCode>"$"#,##0.00</c:formatCode>
                <c:ptCount val="6"/>
                <c:pt idx="0">
                  <c:v>2.5131033351460395</c:v>
                </c:pt>
                <c:pt idx="1">
                  <c:v>1.2997670555652334</c:v>
                </c:pt>
                <c:pt idx="2">
                  <c:v>0.650293963844219</c:v>
                </c:pt>
                <c:pt idx="3">
                  <c:v>0.44062670861694464</c:v>
                </c:pt>
                <c:pt idx="4">
                  <c:v>0.27973926872690241</c:v>
                </c:pt>
                <c:pt idx="5">
                  <c:v>5.6088163691649331E-2</c:v>
                </c:pt>
              </c:numCache>
            </c:numRef>
          </c:yVal>
          <c:smooth val="1"/>
        </c:ser>
        <c:ser>
          <c:idx val="9"/>
          <c:order val="9"/>
          <c:tx>
            <c:v>Cambrian Gas Horizontal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'Cam gas hor'!$A$32:$A$37</c:f>
              <c:numCache>
                <c:formatCode>0.0%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0.2</c:v>
                </c:pt>
              </c:numCache>
            </c:numRef>
          </c:xVal>
          <c:yVal>
            <c:numRef>
              <c:f>'Cam gas hor'!$E$32:$E$37</c:f>
              <c:numCache>
                <c:formatCode>"$"#,##0.00</c:formatCode>
                <c:ptCount val="6"/>
                <c:pt idx="0">
                  <c:v>5.8058209375016592</c:v>
                </c:pt>
                <c:pt idx="1">
                  <c:v>3.4113081185520744</c:v>
                </c:pt>
                <c:pt idx="2">
                  <c:v>2.1132808490372614</c:v>
                </c:pt>
                <c:pt idx="3">
                  <c:v>1.688458354283416</c:v>
                </c:pt>
                <c:pt idx="4">
                  <c:v>1.3588961925020577</c:v>
                </c:pt>
                <c:pt idx="5">
                  <c:v>0.89196198951649319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391168"/>
        <c:axId val="308390776"/>
      </c:scatterChart>
      <c:valAx>
        <c:axId val="308391168"/>
        <c:scaling>
          <c:orientation val="minMax"/>
          <c:max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Discount Rate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90776"/>
        <c:crossesAt val="-2"/>
        <c:crossBetween val="midCat"/>
      </c:valAx>
      <c:valAx>
        <c:axId val="30839077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$NPV/$ Dev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91168"/>
        <c:crossesAt val="-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056980780628214E-2"/>
          <c:y val="0.83746781032023598"/>
          <c:w val="0.92094301921937172"/>
          <c:h val="0.16253218967976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123824</xdr:rowOff>
    </xdr:from>
    <xdr:to>
      <xdr:col>9</xdr:col>
      <xdr:colOff>561975</xdr:colOff>
      <xdr:row>20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21</xdr:row>
      <xdr:rowOff>95250</xdr:rowOff>
    </xdr:from>
    <xdr:to>
      <xdr:col>10</xdr:col>
      <xdr:colOff>0</xdr:colOff>
      <xdr:row>41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4" sqref="A4"/>
    </sheetView>
    <sheetView workbookViewId="1"/>
  </sheetViews>
  <sheetFormatPr defaultRowHeight="15"/>
  <cols>
    <col min="1" max="1" width="3.7109375" customWidth="1"/>
    <col min="2" max="2" width="3.42578125" customWidth="1"/>
  </cols>
  <sheetData>
    <row r="1" spans="1:3">
      <c r="A1" t="s">
        <v>0</v>
      </c>
    </row>
    <row r="2" spans="1:3">
      <c r="A2" t="s">
        <v>1</v>
      </c>
    </row>
    <row r="4" spans="1:3">
      <c r="A4" t="s">
        <v>2</v>
      </c>
      <c r="B4" t="s">
        <v>3</v>
      </c>
    </row>
    <row r="5" spans="1:3">
      <c r="B5" t="s">
        <v>4</v>
      </c>
    </row>
    <row r="6" spans="1:3">
      <c r="B6" t="s">
        <v>5</v>
      </c>
      <c r="C6" t="s">
        <v>6</v>
      </c>
    </row>
    <row r="7" spans="1:3">
      <c r="C7" t="s">
        <v>52</v>
      </c>
    </row>
    <row r="8" spans="1:3">
      <c r="B8" t="s">
        <v>7</v>
      </c>
      <c r="C8" t="s">
        <v>8</v>
      </c>
    </row>
    <row r="9" spans="1:3">
      <c r="C9" t="s">
        <v>9</v>
      </c>
    </row>
    <row r="10" spans="1:3">
      <c r="B10" t="s">
        <v>14</v>
      </c>
      <c r="C10" t="s">
        <v>15</v>
      </c>
    </row>
    <row r="11" spans="1:3">
      <c r="C11" t="s">
        <v>16</v>
      </c>
    </row>
    <row r="12" spans="1:3">
      <c r="B12" t="s">
        <v>17</v>
      </c>
      <c r="C12" t="s">
        <v>18</v>
      </c>
    </row>
    <row r="13" spans="1:3">
      <c r="C13" t="s">
        <v>19</v>
      </c>
    </row>
    <row r="15" spans="1:3">
      <c r="A15" t="s">
        <v>10</v>
      </c>
      <c r="B15" t="s">
        <v>11</v>
      </c>
    </row>
    <row r="16" spans="1:3">
      <c r="B16" t="s">
        <v>5</v>
      </c>
      <c r="C16" t="s">
        <v>12</v>
      </c>
    </row>
    <row r="17" spans="2:3">
      <c r="C17" t="s">
        <v>13</v>
      </c>
    </row>
    <row r="18" spans="2:3">
      <c r="B18" t="s">
        <v>7</v>
      </c>
      <c r="C18" t="s">
        <v>20</v>
      </c>
    </row>
    <row r="19" spans="2:3">
      <c r="C19" t="s">
        <v>21</v>
      </c>
    </row>
    <row r="20" spans="2:3">
      <c r="B20" t="s">
        <v>14</v>
      </c>
      <c r="C20" t="s">
        <v>22</v>
      </c>
    </row>
    <row r="21" spans="2:3">
      <c r="C21" t="s">
        <v>23</v>
      </c>
    </row>
    <row r="22" spans="2:3">
      <c r="B22" t="s">
        <v>17</v>
      </c>
      <c r="C22" t="s">
        <v>24</v>
      </c>
    </row>
    <row r="23" spans="2:3">
      <c r="C23" t="s">
        <v>25</v>
      </c>
    </row>
    <row r="24" spans="2:3">
      <c r="B24" t="s">
        <v>26</v>
      </c>
      <c r="C24" t="s">
        <v>27</v>
      </c>
    </row>
    <row r="25" spans="2:3">
      <c r="C25" t="s">
        <v>19</v>
      </c>
    </row>
    <row r="26" spans="2:3">
      <c r="B26" t="s">
        <v>28</v>
      </c>
      <c r="C26" t="s">
        <v>29</v>
      </c>
    </row>
    <row r="27" spans="2:3">
      <c r="C27" t="s">
        <v>19</v>
      </c>
    </row>
    <row r="28" spans="2:3">
      <c r="B28" t="s">
        <v>30</v>
      </c>
      <c r="C28" t="s">
        <v>31</v>
      </c>
    </row>
    <row r="29" spans="2:3">
      <c r="C29" t="s">
        <v>19</v>
      </c>
    </row>
    <row r="30" spans="2:3">
      <c r="B30" t="s">
        <v>32</v>
      </c>
      <c r="C30" t="s">
        <v>33</v>
      </c>
    </row>
    <row r="31" spans="2:3">
      <c r="C31" t="s">
        <v>19</v>
      </c>
    </row>
    <row r="33" spans="1:3">
      <c r="A33" t="s">
        <v>34</v>
      </c>
      <c r="B33" t="s">
        <v>35</v>
      </c>
    </row>
    <row r="34" spans="1:3">
      <c r="B34" t="s">
        <v>5</v>
      </c>
      <c r="C34" t="s">
        <v>36</v>
      </c>
    </row>
    <row r="35" spans="1:3">
      <c r="C35" t="s">
        <v>37</v>
      </c>
    </row>
    <row r="36" spans="1:3">
      <c r="B36" t="s">
        <v>7</v>
      </c>
      <c r="C36" t="s">
        <v>38</v>
      </c>
    </row>
    <row r="37" spans="1:3">
      <c r="C37" t="s">
        <v>19</v>
      </c>
    </row>
    <row r="39" spans="1:3">
      <c r="A39" t="s">
        <v>39</v>
      </c>
      <c r="B39" t="s">
        <v>40</v>
      </c>
    </row>
    <row r="40" spans="1:3">
      <c r="B40" t="s">
        <v>5</v>
      </c>
      <c r="C40" t="s">
        <v>41</v>
      </c>
    </row>
    <row r="41" spans="1:3">
      <c r="C41" t="s">
        <v>37</v>
      </c>
    </row>
    <row r="42" spans="1:3">
      <c r="B42" t="s">
        <v>7</v>
      </c>
      <c r="C42" t="s">
        <v>42</v>
      </c>
    </row>
    <row r="43" spans="1:3">
      <c r="C43" t="s">
        <v>43</v>
      </c>
    </row>
    <row r="45" spans="1:3">
      <c r="A45" t="s">
        <v>44</v>
      </c>
      <c r="B45" t="s">
        <v>45</v>
      </c>
    </row>
    <row r="46" spans="1:3">
      <c r="B46" t="s">
        <v>5</v>
      </c>
      <c r="C46" t="s">
        <v>46</v>
      </c>
    </row>
    <row r="47" spans="1:3">
      <c r="C47" t="s">
        <v>47</v>
      </c>
    </row>
    <row r="48" spans="1:3">
      <c r="B48" t="s">
        <v>7</v>
      </c>
      <c r="C48" t="s">
        <v>48</v>
      </c>
    </row>
    <row r="49" spans="2:3">
      <c r="C49" t="s">
        <v>49</v>
      </c>
    </row>
    <row r="50" spans="2:3">
      <c r="B50" t="s">
        <v>14</v>
      </c>
      <c r="C50" t="s">
        <v>50</v>
      </c>
    </row>
    <row r="51" spans="2:3">
      <c r="C51" t="s">
        <v>19</v>
      </c>
    </row>
    <row r="52" spans="2:3">
      <c r="B52" t="s">
        <v>17</v>
      </c>
      <c r="C52" t="s">
        <v>51</v>
      </c>
    </row>
    <row r="53" spans="2:3">
      <c r="C53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5" workbookViewId="0">
      <selection activeCell="I22" sqref="I22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514</v>
      </c>
    </row>
    <row r="4" spans="1:11">
      <c r="B4" t="s">
        <v>83</v>
      </c>
      <c r="I4" s="3">
        <f>'Cost inputs'!D19</f>
        <v>200</v>
      </c>
      <c r="J4" t="s">
        <v>61</v>
      </c>
      <c r="K4" t="s">
        <v>91</v>
      </c>
    </row>
    <row r="5" spans="1:11">
      <c r="B5" t="s">
        <v>85</v>
      </c>
      <c r="I5" s="3">
        <f>'Cost inputs'!D20</f>
        <v>400</v>
      </c>
      <c r="J5" t="s">
        <v>61</v>
      </c>
      <c r="K5" t="s">
        <v>91</v>
      </c>
    </row>
    <row r="6" spans="1:11">
      <c r="B6" t="s">
        <v>84</v>
      </c>
      <c r="H6" s="3"/>
      <c r="I6" s="3">
        <f>'Cost inputs'!D21</f>
        <v>50</v>
      </c>
      <c r="J6" t="s">
        <v>61</v>
      </c>
      <c r="K6" t="s">
        <v>91</v>
      </c>
    </row>
    <row r="7" spans="1:11">
      <c r="B7" t="s">
        <v>86</v>
      </c>
      <c r="H7" s="3"/>
      <c r="I7" s="3">
        <f>'Cost inputs'!D23</f>
        <v>150</v>
      </c>
      <c r="J7" t="s">
        <v>61</v>
      </c>
      <c r="K7" t="s">
        <v>91</v>
      </c>
    </row>
    <row r="8" spans="1:11">
      <c r="B8" t="s">
        <v>87</v>
      </c>
      <c r="H8" s="5"/>
      <c r="I8" s="3">
        <f>'Cost inputs'!D25</f>
        <v>10</v>
      </c>
      <c r="J8" t="s">
        <v>61</v>
      </c>
      <c r="K8" t="s">
        <v>91</v>
      </c>
    </row>
    <row r="9" spans="1:11">
      <c r="B9" t="s">
        <v>88</v>
      </c>
      <c r="H9" s="5"/>
      <c r="I9" s="3">
        <f>'Cost inputs'!D27</f>
        <v>30</v>
      </c>
      <c r="J9" t="s">
        <v>61</v>
      </c>
      <c r="K9" t="s">
        <v>91</v>
      </c>
    </row>
    <row r="10" spans="1:11">
      <c r="B10" t="s">
        <v>59</v>
      </c>
      <c r="I10" s="3">
        <f>'Cost inputs'!D29</f>
        <v>8</v>
      </c>
      <c r="J10" t="s">
        <v>61</v>
      </c>
      <c r="K10" t="s">
        <v>91</v>
      </c>
    </row>
    <row r="11" spans="1:11">
      <c r="B11" t="s">
        <v>60</v>
      </c>
      <c r="I11" s="3">
        <f>'Cost inputs'!D30</f>
        <v>10</v>
      </c>
      <c r="J11" t="s">
        <v>61</v>
      </c>
      <c r="K11" t="s">
        <v>91</v>
      </c>
    </row>
    <row r="12" spans="1:11">
      <c r="B12" t="s">
        <v>205</v>
      </c>
      <c r="I12" s="3">
        <f>'Cost inputs'!D32</f>
        <v>400</v>
      </c>
      <c r="J12" t="s">
        <v>58</v>
      </c>
      <c r="K12" t="s">
        <v>91</v>
      </c>
    </row>
    <row r="13" spans="1:11">
      <c r="B13" t="s">
        <v>191</v>
      </c>
      <c r="I13" s="3">
        <f>'Cost inputs'!D33</f>
        <v>10</v>
      </c>
      <c r="J13" t="s">
        <v>61</v>
      </c>
      <c r="K13" t="s">
        <v>91</v>
      </c>
    </row>
    <row r="14" spans="1:11">
      <c r="B14" t="s">
        <v>199</v>
      </c>
      <c r="I14" s="3">
        <f>'Cost inputs'!D35</f>
        <v>20</v>
      </c>
      <c r="J14" t="s">
        <v>61</v>
      </c>
      <c r="K14" t="s">
        <v>91</v>
      </c>
    </row>
    <row r="15" spans="1:11">
      <c r="B15" t="s">
        <v>213</v>
      </c>
      <c r="I15" s="3">
        <f>'Cost inputs'!D38</f>
        <v>75</v>
      </c>
      <c r="J15" t="s">
        <v>58</v>
      </c>
      <c r="K15" t="s">
        <v>91</v>
      </c>
    </row>
    <row r="17" spans="1:11">
      <c r="A17" t="s">
        <v>373</v>
      </c>
    </row>
    <row r="18" spans="1:11">
      <c r="B18" t="s">
        <v>62</v>
      </c>
      <c r="C18" s="8">
        <f>Summary!E8</f>
        <v>200.05289256198347</v>
      </c>
      <c r="D18" t="s">
        <v>68</v>
      </c>
      <c r="E18" t="s">
        <v>206</v>
      </c>
      <c r="G18" t="s">
        <v>207</v>
      </c>
      <c r="I18" s="11">
        <f>Summary!G8</f>
        <v>248.59282026167398</v>
      </c>
      <c r="J18" t="s">
        <v>208</v>
      </c>
      <c r="K18" t="s">
        <v>91</v>
      </c>
    </row>
    <row r="19" spans="1:11">
      <c r="G19" t="s">
        <v>80</v>
      </c>
      <c r="I19" s="10">
        <f>Summary!H8</f>
        <v>16</v>
      </c>
      <c r="J19" t="s">
        <v>81</v>
      </c>
      <c r="K19" t="s">
        <v>91</v>
      </c>
    </row>
    <row r="20" spans="1:11">
      <c r="G20" t="s">
        <v>206</v>
      </c>
      <c r="I20" s="11">
        <f>I18*I19*C18/1000</f>
        <v>795.70740421582605</v>
      </c>
      <c r="J20" t="s">
        <v>135</v>
      </c>
    </row>
    <row r="21" spans="1:11">
      <c r="A21" t="s">
        <v>200</v>
      </c>
      <c r="C21">
        <f>Summary!C22</f>
        <v>100</v>
      </c>
      <c r="D21" t="s">
        <v>209</v>
      </c>
      <c r="I21" s="8"/>
    </row>
    <row r="22" spans="1:11">
      <c r="E22" t="s">
        <v>63</v>
      </c>
      <c r="F22" t="s">
        <v>65</v>
      </c>
      <c r="G22">
        <f>C18/C21</f>
        <v>2.0005289256198346</v>
      </c>
      <c r="H22" t="s">
        <v>67</v>
      </c>
      <c r="I22" s="3">
        <f>G22*SUM(I$4,I$6,I8,I$11)</f>
        <v>540.14280991735541</v>
      </c>
      <c r="J22" t="s">
        <v>58</v>
      </c>
    </row>
    <row r="23" spans="1:11">
      <c r="E23" t="s">
        <v>210</v>
      </c>
      <c r="I23" s="3">
        <f>I12</f>
        <v>400</v>
      </c>
      <c r="J23" t="s">
        <v>58</v>
      </c>
    </row>
    <row r="24" spans="1:11">
      <c r="E24" t="s">
        <v>69</v>
      </c>
      <c r="I24" s="3">
        <f>SUM(I22:I23)</f>
        <v>940.14280991735541</v>
      </c>
      <c r="J24" t="s">
        <v>58</v>
      </c>
    </row>
    <row r="26" spans="1:11">
      <c r="C26" t="s">
        <v>70</v>
      </c>
      <c r="G26" s="8">
        <f>Summary!E22</f>
        <v>100</v>
      </c>
      <c r="H26" t="s">
        <v>211</v>
      </c>
      <c r="I26" s="8">
        <f>G26*G22</f>
        <v>200.05289256198347</v>
      </c>
      <c r="J26" t="s">
        <v>212</v>
      </c>
    </row>
    <row r="27" spans="1:11">
      <c r="C27" t="s">
        <v>71</v>
      </c>
      <c r="I27" s="6">
        <f>(I26-I28)*0.365/I29</f>
        <v>7.7378273451258459E-2</v>
      </c>
      <c r="J27" s="4" t="s">
        <v>74</v>
      </c>
    </row>
    <row r="28" spans="1:11">
      <c r="C28" t="s">
        <v>72</v>
      </c>
      <c r="I28" s="8">
        <f>I34*1000/(30.4*(I31*(1-I32)-I33))</f>
        <v>81.972548514251244</v>
      </c>
      <c r="J28" t="s">
        <v>212</v>
      </c>
    </row>
    <row r="29" spans="1:11">
      <c r="C29" t="s">
        <v>75</v>
      </c>
      <c r="I29" s="8">
        <f>I$20*I30</f>
        <v>556.99518295107816</v>
      </c>
      <c r="J29" t="s">
        <v>135</v>
      </c>
    </row>
    <row r="30" spans="1:11">
      <c r="C30" t="s">
        <v>82</v>
      </c>
      <c r="I30" s="9">
        <f>Summary!H22</f>
        <v>0.7</v>
      </c>
    </row>
    <row r="31" spans="1:11">
      <c r="C31" t="s">
        <v>355</v>
      </c>
      <c r="I31" s="2">
        <f>Prices!F14</f>
        <v>4.8718819288820665</v>
      </c>
      <c r="J31" s="4" t="s">
        <v>111</v>
      </c>
    </row>
    <row r="32" spans="1:11">
      <c r="C32" t="s">
        <v>354</v>
      </c>
      <c r="I32" s="66">
        <v>0.125</v>
      </c>
    </row>
    <row r="33" spans="1:10">
      <c r="C33" t="s">
        <v>185</v>
      </c>
      <c r="I33" s="2">
        <f>Summary!G44</f>
        <v>0.25</v>
      </c>
      <c r="J33" s="4" t="s">
        <v>111</v>
      </c>
    </row>
    <row r="34" spans="1:10">
      <c r="C34" t="s">
        <v>186</v>
      </c>
      <c r="I34" s="3">
        <f>Summary!F44</f>
        <v>10</v>
      </c>
      <c r="J34" s="4" t="s">
        <v>188</v>
      </c>
    </row>
    <row r="35" spans="1:10">
      <c r="C35" t="s">
        <v>191</v>
      </c>
      <c r="I35" s="3">
        <f>I13</f>
        <v>10</v>
      </c>
      <c r="J35" s="4" t="s">
        <v>61</v>
      </c>
    </row>
    <row r="36" spans="1:10">
      <c r="C36" t="s">
        <v>213</v>
      </c>
      <c r="I36" s="3">
        <f>I15</f>
        <v>75</v>
      </c>
      <c r="J36" s="4" t="s">
        <v>58</v>
      </c>
    </row>
    <row r="37" spans="1:10">
      <c r="C37" t="s">
        <v>203</v>
      </c>
      <c r="I37" s="3">
        <f>'Sil A1 vert'!C35</f>
        <v>-432.30326191541371</v>
      </c>
      <c r="J37" s="4" t="s">
        <v>58</v>
      </c>
    </row>
    <row r="38" spans="1:10">
      <c r="C38" t="s">
        <v>204</v>
      </c>
      <c r="I38" s="3">
        <f>'Sil A1 vert'!C36</f>
        <v>-443.66415616001439</v>
      </c>
      <c r="J38" s="4" t="s">
        <v>58</v>
      </c>
    </row>
    <row r="39" spans="1:10">
      <c r="C39" t="s">
        <v>197</v>
      </c>
      <c r="I39" s="44">
        <f>'Sil A1 vert'!C38</f>
        <v>0</v>
      </c>
      <c r="J39" s="4"/>
    </row>
    <row r="41" spans="1:10">
      <c r="A41" t="s">
        <v>200</v>
      </c>
      <c r="C41">
        <f>Summary!C23</f>
        <v>100</v>
      </c>
      <c r="D41" t="s">
        <v>459</v>
      </c>
      <c r="I41" s="8"/>
    </row>
    <row r="42" spans="1:10">
      <c r="E42" t="s">
        <v>63</v>
      </c>
      <c r="F42" t="s">
        <v>65</v>
      </c>
      <c r="G42">
        <f>C18/C41</f>
        <v>2.0005289256198346</v>
      </c>
      <c r="H42" t="s">
        <v>67</v>
      </c>
      <c r="I42" s="3">
        <f>G42*SUM(I$5,I$7,I$9,I$11)</f>
        <v>1180.3120661157025</v>
      </c>
      <c r="J42" t="s">
        <v>58</v>
      </c>
    </row>
    <row r="43" spans="1:10">
      <c r="E43" t="s">
        <v>210</v>
      </c>
      <c r="I43" s="3">
        <f>I12</f>
        <v>400</v>
      </c>
      <c r="J43" t="s">
        <v>58</v>
      </c>
    </row>
    <row r="44" spans="1:10">
      <c r="E44" t="s">
        <v>69</v>
      </c>
      <c r="I44" s="3">
        <f>SUM(I42:I43)</f>
        <v>1580.3120661157025</v>
      </c>
      <c r="J44" t="s">
        <v>58</v>
      </c>
    </row>
    <row r="46" spans="1:10">
      <c r="C46" t="s">
        <v>70</v>
      </c>
      <c r="G46" s="8">
        <f>Summary!E23</f>
        <v>200</v>
      </c>
      <c r="H46" t="s">
        <v>211</v>
      </c>
      <c r="I46" s="8">
        <f>G46*G42</f>
        <v>400.10578512396694</v>
      </c>
      <c r="J46" t="s">
        <v>212</v>
      </c>
    </row>
    <row r="47" spans="1:10">
      <c r="C47" t="s">
        <v>71</v>
      </c>
      <c r="I47" s="6">
        <f>(I46-I48)*0.365/I49</f>
        <v>0.19457509254838343</v>
      </c>
      <c r="J47" s="4" t="s">
        <v>74</v>
      </c>
    </row>
    <row r="48" spans="1:10">
      <c r="C48" t="s">
        <v>72</v>
      </c>
      <c r="I48" s="8">
        <f>I54*1000/(30.4*(I51*(1-I52)-I53))</f>
        <v>81.972548514251244</v>
      </c>
      <c r="J48" t="s">
        <v>212</v>
      </c>
    </row>
    <row r="49" spans="3:10">
      <c r="C49" t="s">
        <v>75</v>
      </c>
      <c r="I49" s="8">
        <f>I$20*I50</f>
        <v>596.78055316186953</v>
      </c>
      <c r="J49" t="s">
        <v>135</v>
      </c>
    </row>
    <row r="50" spans="3:10">
      <c r="C50" t="s">
        <v>82</v>
      </c>
      <c r="I50" s="9">
        <f>Summary!H23</f>
        <v>0.75</v>
      </c>
    </row>
    <row r="51" spans="3:10">
      <c r="C51" t="s">
        <v>355</v>
      </c>
      <c r="I51" s="2">
        <f>Prices!F14</f>
        <v>4.8718819288820665</v>
      </c>
      <c r="J51" s="4" t="s">
        <v>111</v>
      </c>
    </row>
    <row r="52" spans="3:10">
      <c r="C52" t="s">
        <v>354</v>
      </c>
      <c r="I52" s="66">
        <v>0.125</v>
      </c>
    </row>
    <row r="53" spans="3:10">
      <c r="C53" t="s">
        <v>185</v>
      </c>
      <c r="I53" s="3">
        <f>Summary!G45</f>
        <v>0.25</v>
      </c>
      <c r="J53" s="4" t="s">
        <v>111</v>
      </c>
    </row>
    <row r="54" spans="3:10">
      <c r="C54" t="s">
        <v>186</v>
      </c>
      <c r="I54" s="3">
        <f>Summary!F45</f>
        <v>10</v>
      </c>
      <c r="J54" s="4" t="s">
        <v>188</v>
      </c>
    </row>
    <row r="55" spans="3:10">
      <c r="C55" t="s">
        <v>199</v>
      </c>
      <c r="I55" s="3">
        <f>I14</f>
        <v>20</v>
      </c>
      <c r="J55" s="4" t="s">
        <v>61</v>
      </c>
    </row>
    <row r="56" spans="3:10">
      <c r="C56" t="s">
        <v>213</v>
      </c>
      <c r="I56" s="3">
        <f>I15</f>
        <v>75</v>
      </c>
      <c r="J56" s="4" t="s">
        <v>58</v>
      </c>
    </row>
    <row r="57" spans="3:10">
      <c r="C57" t="s">
        <v>203</v>
      </c>
      <c r="I57" s="3">
        <f>'Sil A1 hor'!C35</f>
        <v>-617.9789265269477</v>
      </c>
      <c r="J57" t="s">
        <v>58</v>
      </c>
    </row>
    <row r="58" spans="3:10">
      <c r="C58" t="s">
        <v>204</v>
      </c>
      <c r="I58" s="3">
        <f>'Sil A1 hor'!C36</f>
        <v>-635.96426223005642</v>
      </c>
      <c r="J58" t="s">
        <v>58</v>
      </c>
    </row>
    <row r="59" spans="3:10">
      <c r="C59" t="s">
        <v>197</v>
      </c>
      <c r="I59" s="44">
        <f>'Sil A1 hor'!C38</f>
        <v>0</v>
      </c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6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215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75">
        <f>'Sil Carb'!I26</f>
        <v>200.05289256198347</v>
      </c>
      <c r="F4" s="14" t="s">
        <v>212</v>
      </c>
      <c r="G4" s="15"/>
    </row>
    <row r="5" spans="1:21" ht="15.75">
      <c r="A5" s="14" t="s">
        <v>184</v>
      </c>
      <c r="B5" s="14"/>
      <c r="E5" s="26">
        <f>'Sil Carb'!I27</f>
        <v>7.7378273451258459E-2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15">
        <f>'Sil Carb'!I28</f>
        <v>81.972548514251244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75">
        <f>'Sil Carb'!G22</f>
        <v>2.0005289256198346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Carb'!I34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'Sil Carb'!I33</f>
        <v>0.25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'Sil Carb'!I24</f>
        <v>940.14280991735541</v>
      </c>
      <c r="F24" s="12" t="s">
        <v>195</v>
      </c>
    </row>
    <row r="25" spans="1:21">
      <c r="B25" s="12" t="s">
        <v>193</v>
      </c>
      <c r="E25" s="42">
        <f>'Sil Carb'!I35*'Sil Carb'!G22+'Sil Carb'!I36</f>
        <v>95.005289256198353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-360.2350697451102</v>
      </c>
      <c r="D32" s="12" t="s">
        <v>58</v>
      </c>
      <c r="E32" s="84">
        <f>C32/E$24</f>
        <v>-0.38317058424004452</v>
      </c>
    </row>
    <row r="33" spans="1:19">
      <c r="A33" s="26">
        <v>0.05</v>
      </c>
      <c r="B33" s="12" t="s">
        <v>128</v>
      </c>
      <c r="C33" s="29">
        <f t="shared" ref="C33:C37" si="0">NPV(A33,N$92:N$107)</f>
        <v>-389.21675339392181</v>
      </c>
      <c r="D33" s="12" t="s">
        <v>58</v>
      </c>
      <c r="E33" s="84">
        <f t="shared" ref="E33:E37" si="1">C33/E$24</f>
        <v>-0.41399747920014029</v>
      </c>
    </row>
    <row r="34" spans="1:19">
      <c r="A34" s="26">
        <v>0.1</v>
      </c>
      <c r="B34" s="12" t="s">
        <v>128</v>
      </c>
      <c r="C34" s="29">
        <f t="shared" si="0"/>
        <v>-419.24893465248783</v>
      </c>
      <c r="D34" s="12" t="s">
        <v>58</v>
      </c>
      <c r="E34" s="84">
        <f t="shared" si="1"/>
        <v>-0.44594175505032319</v>
      </c>
    </row>
    <row r="35" spans="1:19">
      <c r="A35" s="26">
        <v>0.125</v>
      </c>
      <c r="B35" s="12" t="s">
        <v>128</v>
      </c>
      <c r="C35" s="29">
        <f t="shared" si="0"/>
        <v>-432.30326191541371</v>
      </c>
      <c r="D35" s="12" t="s">
        <v>58</v>
      </c>
      <c r="E35" s="84">
        <f t="shared" si="1"/>
        <v>-0.45982722768832957</v>
      </c>
      <c r="F35" s="14"/>
    </row>
    <row r="36" spans="1:19">
      <c r="A36" s="26">
        <v>0.15</v>
      </c>
      <c r="B36" s="12" t="s">
        <v>128</v>
      </c>
      <c r="C36" s="29">
        <f t="shared" si="0"/>
        <v>-443.66415616001439</v>
      </c>
      <c r="D36" s="12" t="s">
        <v>58</v>
      </c>
      <c r="E36" s="84">
        <f t="shared" si="1"/>
        <v>-0.4719114494945883</v>
      </c>
      <c r="F36" s="14"/>
    </row>
    <row r="37" spans="1:19">
      <c r="A37" s="26">
        <v>0.2</v>
      </c>
      <c r="B37" s="12" t="s">
        <v>128</v>
      </c>
      <c r="C37" s="29">
        <f t="shared" si="0"/>
        <v>-461.26435560830885</v>
      </c>
      <c r="D37" s="12" t="s">
        <v>58</v>
      </c>
      <c r="E37" s="84">
        <f t="shared" si="1"/>
        <v>-0.49063222176730464</v>
      </c>
      <c r="F37" s="14"/>
    </row>
    <row r="38" spans="1:19">
      <c r="A38" s="12" t="s">
        <v>197</v>
      </c>
      <c r="C38" s="25">
        <f>IF(SUM(N92:N107)&lt;0,0,IRR(N92:N107))</f>
        <v>0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556.99518295107816</v>
      </c>
      <c r="I41" s="14" t="s">
        <v>135</v>
      </c>
      <c r="J41" s="33">
        <f>C107</f>
        <v>0</v>
      </c>
      <c r="K41" s="14" t="s">
        <v>136</v>
      </c>
      <c r="L41" s="33">
        <f>F41+H41/E$42+J41</f>
        <v>92.832530491846356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200.05289256198347</v>
      </c>
      <c r="F50" s="18">
        <f>E50*E$11</f>
        <v>200.05289256198347</v>
      </c>
      <c r="G50" s="35">
        <f>F50*(1-$E$27)</f>
        <v>175.04628099173553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185.1568902230872</v>
      </c>
      <c r="F51" s="18">
        <f t="shared" ref="F51:F64" si="7">E51*E$11</f>
        <v>185.1568902230872</v>
      </c>
      <c r="G51" s="35">
        <f t="shared" ref="G51:G64" si="8">F51*(1-$E$27)</f>
        <v>162.0122789452013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171.37004898073272</v>
      </c>
      <c r="F52" s="18">
        <f t="shared" si="7"/>
        <v>171.37004898073272</v>
      </c>
      <c r="G52" s="35">
        <f t="shared" si="8"/>
        <v>149.94879285814113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158.6097803450626</v>
      </c>
      <c r="F53" s="18">
        <f t="shared" si="7"/>
        <v>158.6097803450626</v>
      </c>
      <c r="G53" s="35">
        <f t="shared" si="8"/>
        <v>138.78355780192979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146.76852785965889</v>
      </c>
      <c r="F54" s="18">
        <f t="shared" si="7"/>
        <v>146.76852785965889</v>
      </c>
      <c r="G54" s="35">
        <f t="shared" si="8"/>
        <v>128.42246187720153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135.84009635199419</v>
      </c>
      <c r="F55" s="18">
        <f t="shared" si="7"/>
        <v>135.84009635199419</v>
      </c>
      <c r="G55" s="35">
        <f t="shared" si="8"/>
        <v>118.86008430799492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125.72539934830927</v>
      </c>
      <c r="F56" s="18">
        <f t="shared" si="7"/>
        <v>125.72539934830927</v>
      </c>
      <c r="G56" s="35">
        <f t="shared" si="8"/>
        <v>110.00972442977061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116.36384591727942</v>
      </c>
      <c r="F57" s="18">
        <f t="shared" si="7"/>
        <v>116.36384591727942</v>
      </c>
      <c r="G57" s="35">
        <f t="shared" si="8"/>
        <v>101.8183651776195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107.67652741345543</v>
      </c>
      <c r="F58" s="18">
        <f t="shared" si="7"/>
        <v>107.67652741345543</v>
      </c>
      <c r="G58" s="35">
        <f t="shared" si="8"/>
        <v>94.216961486773499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99.658898757083463</v>
      </c>
      <c r="F59" s="18">
        <f t="shared" si="7"/>
        <v>99.658898757083463</v>
      </c>
      <c r="G59" s="35">
        <f t="shared" si="8"/>
        <v>87.201536412448036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92.238265293773836</v>
      </c>
      <c r="F60" s="18">
        <f t="shared" si="7"/>
        <v>92.238265293773836</v>
      </c>
      <c r="G60" s="35">
        <f t="shared" si="8"/>
        <v>80.708482132052112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85.370174570586315</v>
      </c>
      <c r="F61" s="18">
        <f t="shared" si="7"/>
        <v>85.370174570586315</v>
      </c>
      <c r="G61" s="35">
        <f t="shared" si="8"/>
        <v>74.698902749263027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81.972548514251244</v>
      </c>
      <c r="F62" s="18">
        <f t="shared" si="7"/>
        <v>81.972548514251244</v>
      </c>
      <c r="G62" s="35">
        <f t="shared" si="8"/>
        <v>71.72597994996984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0</v>
      </c>
      <c r="F63" s="18">
        <f t="shared" si="7"/>
        <v>0</v>
      </c>
      <c r="G63" s="35">
        <f t="shared" si="8"/>
        <v>0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0</v>
      </c>
      <c r="F64" s="18">
        <f t="shared" si="7"/>
        <v>0</v>
      </c>
      <c r="G64" s="35">
        <f t="shared" si="8"/>
        <v>0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2.0005289256198346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70.265729786824437</v>
      </c>
      <c r="J71" s="39">
        <f>IF(E51=0,0,IF(E$6=1,(E$4)/(E$5/365)*LN((E$4)/E51)/1000,(E$4)^E$6*((E$4)^(1-E$6)-E51^(1-E$6))/((1-E$6)*E$5/365)/1000))</f>
        <v>70.265729786824437</v>
      </c>
      <c r="K71" s="15">
        <f>I71*E$11</f>
        <v>70.265729786824437</v>
      </c>
      <c r="L71" s="39">
        <f>J71*E$11</f>
        <v>70.265729786824437</v>
      </c>
      <c r="M71" s="15">
        <f t="shared" ref="M71:M85" si="14">IF(K71=0,0,(H93-I93)/H93*K71)</f>
        <v>61.482513563471386</v>
      </c>
      <c r="N71" s="15">
        <f>M71</f>
        <v>61.482513563471386</v>
      </c>
    </row>
    <row r="72" spans="1:14">
      <c r="A72" s="38">
        <f t="shared" si="10"/>
        <v>43101</v>
      </c>
      <c r="B72" s="15">
        <f>IF(E52=0,0,B71)</f>
        <v>2.0005289256198346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65.033721082303941</v>
      </c>
      <c r="J72" s="39">
        <f>IF(E52=0,J71,IF(E$6=1,(E$4)/(E$5/365)*LN((E$4)/E52)/1000,(E$4)^E$6*((E$4)^(1-E$6)-E52^(1-E$6))/((1-E$6)*E$5/365)/1000))</f>
        <v>135.29945086912838</v>
      </c>
      <c r="K72" s="15">
        <f t="shared" ref="K72:K85" si="18">I72*E$11</f>
        <v>65.033721082303941</v>
      </c>
      <c r="L72" s="39">
        <f t="shared" ref="L72:L85" si="19">J72*E$11</f>
        <v>135.29945086912838</v>
      </c>
      <c r="M72" s="15">
        <f t="shared" si="14"/>
        <v>56.904505947015949</v>
      </c>
      <c r="N72" s="15">
        <f t="shared" ref="N72:N85" si="20">M72+N71</f>
        <v>118.38701951048733</v>
      </c>
    </row>
    <row r="73" spans="1:14">
      <c r="A73" s="38">
        <f t="shared" si="10"/>
        <v>43466</v>
      </c>
      <c r="B73" s="15">
        <f t="shared" ref="B73:B84" si="21">IF(E53=0,0,B72)</f>
        <v>2.0005289256198346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60.191289418642924</v>
      </c>
      <c r="J73" s="39">
        <f t="shared" ref="J73:J84" si="23">IF(E53=0,J72,IF(E$6=1,(E$4)/(E$5/365)*LN((E$4)/E53)/1000,(E$4)^E$6*((E$4)^(1-E$6)-E53^(1-E$6))/((1-E$6)*E$5/365)/1000))</f>
        <v>195.4907402877713</v>
      </c>
      <c r="K73" s="15">
        <f t="shared" si="18"/>
        <v>60.191289418642924</v>
      </c>
      <c r="L73" s="39">
        <f t="shared" si="19"/>
        <v>195.4907402877713</v>
      </c>
      <c r="M73" s="15">
        <f t="shared" si="14"/>
        <v>52.667378241312562</v>
      </c>
      <c r="N73" s="15">
        <f t="shared" si="20"/>
        <v>171.05439775179991</v>
      </c>
    </row>
    <row r="74" spans="1:14">
      <c r="A74" s="38">
        <f t="shared" si="10"/>
        <v>43831</v>
      </c>
      <c r="B74" s="15">
        <f t="shared" si="21"/>
        <v>2.0005289256198346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55.856210850903437</v>
      </c>
      <c r="J74" s="39">
        <f t="shared" si="23"/>
        <v>251.34695113867474</v>
      </c>
      <c r="K74" s="15">
        <f t="shared" si="18"/>
        <v>55.856210850903437</v>
      </c>
      <c r="L74" s="39">
        <f t="shared" si="19"/>
        <v>251.34695113867474</v>
      </c>
      <c r="M74" s="15">
        <f t="shared" si="14"/>
        <v>48.874184494540508</v>
      </c>
      <c r="N74" s="15">
        <f t="shared" si="20"/>
        <v>219.92858224634043</v>
      </c>
    </row>
    <row r="75" spans="1:14">
      <c r="A75" s="38">
        <f t="shared" si="10"/>
        <v>44197</v>
      </c>
      <c r="B75" s="15">
        <f t="shared" si="21"/>
        <v>2.0005289256198346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51.550355447130244</v>
      </c>
      <c r="J75" s="39">
        <f t="shared" si="23"/>
        <v>302.89730658580498</v>
      </c>
      <c r="K75" s="15">
        <f t="shared" si="18"/>
        <v>51.550355447130244</v>
      </c>
      <c r="L75" s="39">
        <f t="shared" si="19"/>
        <v>302.89730658580498</v>
      </c>
      <c r="M75" s="15">
        <f t="shared" si="14"/>
        <v>45.106561016238963</v>
      </c>
      <c r="N75" s="15">
        <f t="shared" si="20"/>
        <v>265.03514326257937</v>
      </c>
    </row>
    <row r="76" spans="1:14">
      <c r="A76" s="38">
        <f t="shared" si="10"/>
        <v>44562</v>
      </c>
      <c r="B76" s="15">
        <f t="shared" si="21"/>
        <v>2.0005289256198346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47.711899499418905</v>
      </c>
      <c r="J76" s="39">
        <f t="shared" si="23"/>
        <v>350.60920608522389</v>
      </c>
      <c r="K76" s="15">
        <f t="shared" si="18"/>
        <v>47.711899499418905</v>
      </c>
      <c r="L76" s="39">
        <f t="shared" si="19"/>
        <v>350.60920608522389</v>
      </c>
      <c r="M76" s="15">
        <f t="shared" si="14"/>
        <v>41.747912061991542</v>
      </c>
      <c r="N76" s="15">
        <f t="shared" si="20"/>
        <v>306.78305532457091</v>
      </c>
    </row>
    <row r="77" spans="1:14">
      <c r="A77" s="38">
        <f t="shared" si="10"/>
        <v>44927</v>
      </c>
      <c r="B77" s="15">
        <f t="shared" si="21"/>
        <v>2.0005289256198346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44.159256208763622</v>
      </c>
      <c r="J77" s="39">
        <f t="shared" si="23"/>
        <v>394.76846229398751</v>
      </c>
      <c r="K77" s="15">
        <f t="shared" si="18"/>
        <v>44.159256208763622</v>
      </c>
      <c r="L77" s="39">
        <f t="shared" si="19"/>
        <v>394.76846229398751</v>
      </c>
      <c r="M77" s="15">
        <f t="shared" si="14"/>
        <v>38.63934918266817</v>
      </c>
      <c r="N77" s="15">
        <f t="shared" si="20"/>
        <v>345.42240450723909</v>
      </c>
    </row>
    <row r="78" spans="1:14">
      <c r="A78" s="38">
        <f t="shared" si="10"/>
        <v>45292</v>
      </c>
      <c r="B78" s="15">
        <f t="shared" si="21"/>
        <v>2.0005289256198346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40.978831815020044</v>
      </c>
      <c r="J78" s="39">
        <f t="shared" si="23"/>
        <v>435.74729410900756</v>
      </c>
      <c r="K78" s="15">
        <f t="shared" si="18"/>
        <v>40.978831815020044</v>
      </c>
      <c r="L78" s="39">
        <f t="shared" si="19"/>
        <v>435.74729410900756</v>
      </c>
      <c r="M78" s="15">
        <f t="shared" si="14"/>
        <v>35.856477838142538</v>
      </c>
      <c r="N78" s="15">
        <f t="shared" si="20"/>
        <v>381.27888234538165</v>
      </c>
    </row>
    <row r="79" spans="1:14">
      <c r="A79" s="38">
        <f t="shared" si="10"/>
        <v>45658</v>
      </c>
      <c r="B79" s="15">
        <f t="shared" si="21"/>
        <v>2.0005289256198346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37.819846955090952</v>
      </c>
      <c r="J79" s="39">
        <f t="shared" si="23"/>
        <v>473.56714106409851</v>
      </c>
      <c r="K79" s="15">
        <f t="shared" si="18"/>
        <v>37.819846955090952</v>
      </c>
      <c r="L79" s="39">
        <f t="shared" si="19"/>
        <v>473.56714106409851</v>
      </c>
      <c r="M79" s="15">
        <f t="shared" si="14"/>
        <v>33.092366085704583</v>
      </c>
      <c r="N79" s="15">
        <f t="shared" si="20"/>
        <v>414.3712484310862</v>
      </c>
    </row>
    <row r="80" spans="1:14">
      <c r="A80" s="38">
        <f t="shared" si="10"/>
        <v>46023</v>
      </c>
      <c r="B80" s="15">
        <f t="shared" si="21"/>
        <v>2.0005289256198346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35.003769059465412</v>
      </c>
      <c r="J80" s="39">
        <f t="shared" si="23"/>
        <v>508.57091012356392</v>
      </c>
      <c r="K80" s="15">
        <f t="shared" si="18"/>
        <v>35.003769059465412</v>
      </c>
      <c r="L80" s="39">
        <f t="shared" si="19"/>
        <v>508.57091012356392</v>
      </c>
      <c r="M80" s="15">
        <f t="shared" si="14"/>
        <v>30.628297927032236</v>
      </c>
      <c r="N80" s="15">
        <f t="shared" si="20"/>
        <v>444.99954635811844</v>
      </c>
    </row>
    <row r="81" spans="1:18">
      <c r="A81" s="38">
        <f t="shared" si="10"/>
        <v>46388</v>
      </c>
      <c r="B81" s="15">
        <f t="shared" si="21"/>
        <v>2.0005289256198346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32.397377224274067</v>
      </c>
      <c r="J81" s="39">
        <f t="shared" si="23"/>
        <v>540.96828734783799</v>
      </c>
      <c r="K81" s="15">
        <f t="shared" si="18"/>
        <v>32.397377224274067</v>
      </c>
      <c r="L81" s="39">
        <f t="shared" si="19"/>
        <v>540.96828734783799</v>
      </c>
      <c r="M81" s="15">
        <f t="shared" si="14"/>
        <v>28.347705071239805</v>
      </c>
      <c r="N81" s="15">
        <f t="shared" si="20"/>
        <v>473.34725142935827</v>
      </c>
    </row>
    <row r="82" spans="1:18">
      <c r="A82" s="38">
        <f t="shared" si="10"/>
        <v>46753</v>
      </c>
      <c r="B82" s="15">
        <f t="shared" si="21"/>
        <v>2.0005289256198346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16.026895603240177</v>
      </c>
      <c r="J82" s="39">
        <f t="shared" si="23"/>
        <v>556.99518295107816</v>
      </c>
      <c r="K82" s="15">
        <f t="shared" si="18"/>
        <v>16.026895603240177</v>
      </c>
      <c r="L82" s="39">
        <f t="shared" si="19"/>
        <v>556.99518295107816</v>
      </c>
      <c r="M82" s="15">
        <f t="shared" si="14"/>
        <v>14.023533652835155</v>
      </c>
      <c r="N82" s="15">
        <f t="shared" si="20"/>
        <v>487.37078508219344</v>
      </c>
    </row>
    <row r="83" spans="1:18">
      <c r="A83" s="38">
        <f t="shared" si="10"/>
        <v>47119</v>
      </c>
      <c r="B83" s="15">
        <f t="shared" si="21"/>
        <v>0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0</v>
      </c>
      <c r="J83" s="39">
        <f t="shared" si="23"/>
        <v>556.99518295107816</v>
      </c>
      <c r="K83" s="15">
        <f t="shared" si="18"/>
        <v>0</v>
      </c>
      <c r="L83" s="39">
        <f t="shared" si="19"/>
        <v>556.99518295107816</v>
      </c>
      <c r="M83" s="15">
        <f t="shared" si="14"/>
        <v>0</v>
      </c>
      <c r="N83" s="15">
        <f t="shared" si="20"/>
        <v>487.37078508219344</v>
      </c>
    </row>
    <row r="84" spans="1:18">
      <c r="A84" s="38">
        <f t="shared" si="10"/>
        <v>47484</v>
      </c>
      <c r="B84" s="15">
        <f t="shared" si="21"/>
        <v>0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0</v>
      </c>
      <c r="J84" s="39">
        <f t="shared" si="23"/>
        <v>556.99518295107816</v>
      </c>
      <c r="K84" s="15">
        <f t="shared" si="18"/>
        <v>0</v>
      </c>
      <c r="L84" s="39">
        <f t="shared" si="19"/>
        <v>556.99518295107816</v>
      </c>
      <c r="M84" s="15">
        <f t="shared" si="14"/>
        <v>0</v>
      </c>
      <c r="N84" s="15">
        <f t="shared" si="20"/>
        <v>487.37078508219344</v>
      </c>
    </row>
    <row r="85" spans="1:18">
      <c r="A85" s="38">
        <f t="shared" si="10"/>
        <v>47849</v>
      </c>
      <c r="B85" s="15">
        <f>IF(E64=0,0,B84)</f>
        <v>0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0</v>
      </c>
      <c r="J85" s="39">
        <f>IF(E64=0,J84,IF(E$6=1,(E$4)/(E$5/365)*LN((E$4)/E7)/1000,(E$4)^E$6*((E$4)^(1-E$6)-E7^(1-E$6))/((1-E$6)*E$5/365)/1000))</f>
        <v>556.99518295107816</v>
      </c>
      <c r="K85" s="15">
        <f t="shared" si="18"/>
        <v>0</v>
      </c>
      <c r="L85" s="39">
        <f t="shared" si="19"/>
        <v>556.99518295107816</v>
      </c>
      <c r="M85" s="15">
        <f t="shared" si="14"/>
        <v>0</v>
      </c>
      <c r="N85" s="15">
        <f t="shared" si="20"/>
        <v>487.37078508219344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940.14280991735541</v>
      </c>
      <c r="N92" s="41">
        <f t="shared" ref="N92:N107" si="24">L92-M92</f>
        <v>-940.14280991735541</v>
      </c>
    </row>
    <row r="93" spans="1:18">
      <c r="A93" s="38">
        <f t="shared" ref="A93:A107" si="25">A71</f>
        <v>42736</v>
      </c>
      <c r="B93" s="18">
        <f t="shared" ref="B93:B107" si="26">I71*$G$9*1000</f>
        <v>0</v>
      </c>
      <c r="C93" s="18">
        <f t="shared" ref="C93:C107" si="27">J71*$G$9*1000</f>
        <v>0</v>
      </c>
      <c r="D93" s="18">
        <f t="shared" ref="D93:D107" si="28">K71*$G$9*1000</f>
        <v>0</v>
      </c>
      <c r="E93" s="18">
        <f t="shared" ref="E93:E107" si="29">L71*$G$9*1000</f>
        <v>0</v>
      </c>
      <c r="F93" s="18">
        <f t="shared" ref="F93:F107" si="30">M71*$G$9*1000</f>
        <v>0</v>
      </c>
      <c r="G93" s="18">
        <f t="shared" ref="G93:G107" si="31">N71*$G$9*1000</f>
        <v>0</v>
      </c>
      <c r="H93" s="41">
        <f t="shared" ref="H93:H107" si="32">E71*K50+K71*L50+D93*M50/1000</f>
        <v>342.32633916814029</v>
      </c>
      <c r="I93" s="41">
        <f t="shared" ref="I93:I107" si="33">E71*K50*E$27+E71*(K50-E$14)*G$27+K71*L50*E$27+K71*(L50-E$15)*G$27+D93*M50*(E$27+G$27)/1000</f>
        <v>42.790792396017537</v>
      </c>
      <c r="J93" s="41">
        <f t="shared" ref="J93:J107" si="34">C71*K50*I$27+C71*(K50-E$14)*K$27+I71*L50*I$27+I71*(L50-E$15)*K$27+B93*M50*(I$27+K$27)/1000</f>
        <v>0</v>
      </c>
      <c r="K93" s="41">
        <f>IF(H93=0,0,((B71*E$16+E$19)*12+E71*(E$17+E$20)+K71*(E$18+E$21))*(1+E$22)^((A50-A$50)/365))</f>
        <v>137.5664324467061</v>
      </c>
      <c r="L93" s="41">
        <f t="shared" ref="L93:L107" si="35">H93+J93-I93-K93</f>
        <v>161.96911432541665</v>
      </c>
      <c r="M93" s="41">
        <f t="shared" ref="M93" si="36">(B71-B72)*E$24*(1+E$22/365)^(A50-A$50)</f>
        <v>0</v>
      </c>
      <c r="N93" s="41">
        <f t="shared" si="24"/>
        <v>161.96911432541665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7"/>
        <v>0</v>
      </c>
      <c r="D94" s="18">
        <f t="shared" si="28"/>
        <v>0</v>
      </c>
      <c r="E94" s="18">
        <f t="shared" si="29"/>
        <v>0</v>
      </c>
      <c r="F94" s="18">
        <f t="shared" si="30"/>
        <v>0</v>
      </c>
      <c r="G94" s="18">
        <f t="shared" si="31"/>
        <v>0</v>
      </c>
      <c r="H94" s="41">
        <f t="shared" si="32"/>
        <v>292.52437904820135</v>
      </c>
      <c r="I94" s="41">
        <f t="shared" si="33"/>
        <v>36.565547381025169</v>
      </c>
      <c r="J94" s="41">
        <f t="shared" si="34"/>
        <v>0</v>
      </c>
      <c r="K94" s="41">
        <f>IF(H94=0,0,((B72*E$16+E$19)*12+E72*(E$17+E$20)+K72*(E$18+E$21))*(1+E$22)^((A51-A$50)/365))</f>
        <v>138.9835988759875</v>
      </c>
      <c r="L94" s="41">
        <f t="shared" si="35"/>
        <v>116.97523279118869</v>
      </c>
      <c r="M94" s="41">
        <f t="shared" ref="M94:M102" si="37">IF(B72&gt;B73,E$25*(1+E$22/365)^(A51-A$50),0)</f>
        <v>0</v>
      </c>
      <c r="N94" s="41">
        <f t="shared" si="24"/>
        <v>116.97523279118869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7"/>
        <v>0</v>
      </c>
      <c r="D95" s="18">
        <f t="shared" si="28"/>
        <v>0</v>
      </c>
      <c r="E95" s="18">
        <f t="shared" si="29"/>
        <v>0</v>
      </c>
      <c r="F95" s="18">
        <f t="shared" si="30"/>
        <v>0</v>
      </c>
      <c r="G95" s="18">
        <f t="shared" si="31"/>
        <v>0</v>
      </c>
      <c r="H95" s="41">
        <f t="shared" si="32"/>
        <v>273.70403337248439</v>
      </c>
      <c r="I95" s="41">
        <f t="shared" si="33"/>
        <v>34.213004171560549</v>
      </c>
      <c r="J95" s="41">
        <f t="shared" si="34"/>
        <v>0</v>
      </c>
      <c r="K95" s="41">
        <f t="shared" ref="K95:K107" si="38">IF(H95=0,0,((B73*E$16+E$19)*12+E73*(E$17+E$20)+K73*(E$18+E$21))*(1+E$22)^((A52-A$50)/365))</f>
        <v>140.50375437778902</v>
      </c>
      <c r="L95" s="41">
        <f t="shared" si="35"/>
        <v>98.987274823134811</v>
      </c>
      <c r="M95" s="41">
        <f t="shared" si="37"/>
        <v>0</v>
      </c>
      <c r="N95" s="41">
        <f t="shared" si="24"/>
        <v>98.987274823134811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7"/>
        <v>0</v>
      </c>
      <c r="D96" s="18">
        <f t="shared" si="28"/>
        <v>0</v>
      </c>
      <c r="E96" s="18">
        <f t="shared" si="29"/>
        <v>0</v>
      </c>
      <c r="F96" s="18">
        <f t="shared" si="30"/>
        <v>0</v>
      </c>
      <c r="G96" s="18">
        <f t="shared" si="31"/>
        <v>0</v>
      </c>
      <c r="H96" s="41">
        <f t="shared" si="32"/>
        <v>268.5436189796651</v>
      </c>
      <c r="I96" s="41">
        <f t="shared" si="33"/>
        <v>33.567952372458137</v>
      </c>
      <c r="J96" s="41">
        <f t="shared" si="34"/>
        <v>0</v>
      </c>
      <c r="K96" s="41">
        <f t="shared" si="38"/>
        <v>142.16372445116636</v>
      </c>
      <c r="L96" s="41">
        <f t="shared" si="35"/>
        <v>92.811942156040601</v>
      </c>
      <c r="M96" s="41">
        <f t="shared" si="37"/>
        <v>0</v>
      </c>
      <c r="N96" s="41">
        <f t="shared" si="24"/>
        <v>92.811942156040601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7"/>
        <v>0</v>
      </c>
      <c r="D97" s="18">
        <f t="shared" si="28"/>
        <v>0</v>
      </c>
      <c r="E97" s="18">
        <f t="shared" si="29"/>
        <v>0</v>
      </c>
      <c r="F97" s="18">
        <f t="shared" si="30"/>
        <v>0</v>
      </c>
      <c r="G97" s="18">
        <f t="shared" si="31"/>
        <v>0</v>
      </c>
      <c r="H97" s="41">
        <f t="shared" si="32"/>
        <v>255.59735221109693</v>
      </c>
      <c r="I97" s="41">
        <f t="shared" si="33"/>
        <v>31.949669026387117</v>
      </c>
      <c r="J97" s="41">
        <f t="shared" si="34"/>
        <v>0</v>
      </c>
      <c r="K97" s="41">
        <f t="shared" si="38"/>
        <v>143.84960402096871</v>
      </c>
      <c r="L97" s="41">
        <f t="shared" si="35"/>
        <v>79.798079163741107</v>
      </c>
      <c r="M97" s="41">
        <f t="shared" si="37"/>
        <v>0</v>
      </c>
      <c r="N97" s="41">
        <f t="shared" si="24"/>
        <v>79.798079163741107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7"/>
        <v>0</v>
      </c>
      <c r="D98" s="18">
        <f t="shared" si="28"/>
        <v>0</v>
      </c>
      <c r="E98" s="18">
        <f t="shared" si="29"/>
        <v>0</v>
      </c>
      <c r="F98" s="18">
        <f t="shared" si="30"/>
        <v>0</v>
      </c>
      <c r="G98" s="18">
        <f t="shared" si="31"/>
        <v>0</v>
      </c>
      <c r="H98" s="41">
        <f t="shared" si="32"/>
        <v>243.64524930630424</v>
      </c>
      <c r="I98" s="41">
        <f t="shared" si="33"/>
        <v>30.45565616328803</v>
      </c>
      <c r="J98" s="41">
        <f t="shared" si="34"/>
        <v>0</v>
      </c>
      <c r="K98" s="41">
        <f t="shared" si="38"/>
        <v>145.66704723697418</v>
      </c>
      <c r="L98" s="41">
        <f t="shared" si="35"/>
        <v>67.522545906042012</v>
      </c>
      <c r="M98" s="41">
        <f t="shared" si="37"/>
        <v>0</v>
      </c>
      <c r="N98" s="41">
        <f t="shared" si="24"/>
        <v>67.522545906042012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7"/>
        <v>0</v>
      </c>
      <c r="D99" s="18">
        <f t="shared" si="28"/>
        <v>0</v>
      </c>
      <c r="E99" s="18">
        <f t="shared" si="29"/>
        <v>0</v>
      </c>
      <c r="F99" s="18">
        <f t="shared" si="30"/>
        <v>0</v>
      </c>
      <c r="G99" s="18">
        <f t="shared" si="31"/>
        <v>0</v>
      </c>
      <c r="H99" s="41">
        <f t="shared" si="32"/>
        <v>232.07814759887873</v>
      </c>
      <c r="I99" s="41">
        <f t="shared" si="33"/>
        <v>29.009768449859841</v>
      </c>
      <c r="J99" s="41">
        <f t="shared" si="34"/>
        <v>0</v>
      </c>
      <c r="K99" s="41">
        <f t="shared" si="38"/>
        <v>147.58012057414706</v>
      </c>
      <c r="L99" s="41">
        <f t="shared" si="35"/>
        <v>55.488258574871821</v>
      </c>
      <c r="M99" s="41">
        <f t="shared" si="37"/>
        <v>0</v>
      </c>
      <c r="N99" s="41">
        <f t="shared" si="24"/>
        <v>55.488258574871821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7"/>
        <v>0</v>
      </c>
      <c r="D100" s="18">
        <f t="shared" si="28"/>
        <v>0</v>
      </c>
      <c r="E100" s="18">
        <f t="shared" si="29"/>
        <v>0</v>
      </c>
      <c r="F100" s="18">
        <f t="shared" si="30"/>
        <v>0</v>
      </c>
      <c r="G100" s="18">
        <f t="shared" si="31"/>
        <v>0</v>
      </c>
      <c r="H100" s="41">
        <f t="shared" si="32"/>
        <v>220.98073848469966</v>
      </c>
      <c r="I100" s="41">
        <f t="shared" si="33"/>
        <v>27.622592310587457</v>
      </c>
      <c r="J100" s="41">
        <f t="shared" si="34"/>
        <v>0</v>
      </c>
      <c r="K100" s="41">
        <f t="shared" si="38"/>
        <v>149.61834645331695</v>
      </c>
      <c r="L100" s="41">
        <f t="shared" si="35"/>
        <v>43.739799720795247</v>
      </c>
      <c r="M100" s="41">
        <f t="shared" si="37"/>
        <v>0</v>
      </c>
      <c r="N100" s="41">
        <f t="shared" si="24"/>
        <v>43.739799720795247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7"/>
        <v>0</v>
      </c>
      <c r="D101" s="18">
        <f t="shared" si="28"/>
        <v>0</v>
      </c>
      <c r="E101" s="18">
        <f t="shared" si="29"/>
        <v>0</v>
      </c>
      <c r="F101" s="18">
        <f t="shared" si="30"/>
        <v>0</v>
      </c>
      <c r="G101" s="18">
        <f t="shared" si="31"/>
        <v>0</v>
      </c>
      <c r="H101" s="41">
        <f t="shared" si="32"/>
        <v>207.51837002988205</v>
      </c>
      <c r="I101" s="41">
        <f t="shared" si="33"/>
        <v>25.939796253735256</v>
      </c>
      <c r="J101" s="41">
        <f t="shared" si="34"/>
        <v>0</v>
      </c>
      <c r="K101" s="41">
        <f t="shared" si="38"/>
        <v>151.6935793437074</v>
      </c>
      <c r="L101" s="41">
        <f t="shared" si="35"/>
        <v>29.884994432439385</v>
      </c>
      <c r="M101" s="41">
        <f t="shared" si="37"/>
        <v>0</v>
      </c>
      <c r="N101" s="41">
        <f t="shared" si="24"/>
        <v>29.884994432439385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7"/>
        <v>0</v>
      </c>
      <c r="D102" s="18">
        <f t="shared" si="28"/>
        <v>0</v>
      </c>
      <c r="E102" s="18">
        <f t="shared" si="29"/>
        <v>0</v>
      </c>
      <c r="F102" s="18">
        <f t="shared" si="30"/>
        <v>0</v>
      </c>
      <c r="G102" s="18">
        <f t="shared" si="31"/>
        <v>0</v>
      </c>
      <c r="H102" s="41">
        <f t="shared" si="32"/>
        <v>196.05829854763195</v>
      </c>
      <c r="I102" s="41">
        <f t="shared" si="33"/>
        <v>24.507287318453994</v>
      </c>
      <c r="J102" s="41">
        <f t="shared" si="34"/>
        <v>0</v>
      </c>
      <c r="K102" s="41">
        <f t="shared" si="38"/>
        <v>153.88599118937179</v>
      </c>
      <c r="L102" s="41">
        <f t="shared" si="35"/>
        <v>17.665020039806166</v>
      </c>
      <c r="M102" s="41">
        <f t="shared" si="37"/>
        <v>0</v>
      </c>
      <c r="N102" s="41">
        <f t="shared" si="24"/>
        <v>17.665020039806166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7"/>
        <v>0</v>
      </c>
      <c r="D103" s="18">
        <f t="shared" si="28"/>
        <v>0</v>
      </c>
      <c r="E103" s="18">
        <f t="shared" si="29"/>
        <v>0</v>
      </c>
      <c r="F103" s="18">
        <f t="shared" si="30"/>
        <v>0</v>
      </c>
      <c r="G103" s="18">
        <f t="shared" si="31"/>
        <v>0</v>
      </c>
      <c r="H103" s="41">
        <f t="shared" si="32"/>
        <v>185.18628346515231</v>
      </c>
      <c r="I103" s="41">
        <f t="shared" si="33"/>
        <v>23.148285433144039</v>
      </c>
      <c r="J103" s="41">
        <f t="shared" si="34"/>
        <v>0</v>
      </c>
      <c r="K103" s="41">
        <f t="shared" si="38"/>
        <v>156.16933054570524</v>
      </c>
      <c r="L103" s="41">
        <f t="shared" si="35"/>
        <v>5.8686674863030248</v>
      </c>
      <c r="M103" s="41">
        <f>IF(B81&gt;B82,E$25*(1+E$22/365)^(A60-A$50),0)</f>
        <v>0</v>
      </c>
      <c r="N103" s="41">
        <f t="shared" si="24"/>
        <v>5.8686674863030248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7"/>
        <v>0</v>
      </c>
      <c r="D104" s="18">
        <f t="shared" si="28"/>
        <v>0</v>
      </c>
      <c r="E104" s="18">
        <f t="shared" si="29"/>
        <v>0</v>
      </c>
      <c r="F104" s="18">
        <f t="shared" si="30"/>
        <v>0</v>
      </c>
      <c r="G104" s="18">
        <f t="shared" si="31"/>
        <v>0</v>
      </c>
      <c r="H104" s="41">
        <f t="shared" si="32"/>
        <v>93.481665388450892</v>
      </c>
      <c r="I104" s="41">
        <f t="shared" si="33"/>
        <v>11.685208173556362</v>
      </c>
      <c r="J104" s="41">
        <f t="shared" si="34"/>
        <v>0</v>
      </c>
      <c r="K104" s="41">
        <f t="shared" si="38"/>
        <v>154.20350590283962</v>
      </c>
      <c r="L104" s="41">
        <f t="shared" si="35"/>
        <v>-72.407048687945093</v>
      </c>
      <c r="M104" s="41">
        <f t="shared" ref="M104:M107" si="39">IF(B82&gt;B83,E$25*(1+E$22/365)^(A61-A$50),0)</f>
        <v>118.3961405595892</v>
      </c>
      <c r="N104" s="41">
        <f t="shared" si="24"/>
        <v>-190.80318924753431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7"/>
        <v>0</v>
      </c>
      <c r="D105" s="18">
        <f t="shared" si="28"/>
        <v>0</v>
      </c>
      <c r="E105" s="18">
        <f t="shared" si="29"/>
        <v>0</v>
      </c>
      <c r="F105" s="18">
        <f t="shared" si="30"/>
        <v>0</v>
      </c>
      <c r="G105" s="18">
        <f t="shared" si="31"/>
        <v>0</v>
      </c>
      <c r="H105" s="41">
        <f t="shared" si="32"/>
        <v>0</v>
      </c>
      <c r="I105" s="41">
        <f t="shared" si="33"/>
        <v>0</v>
      </c>
      <c r="J105" s="41">
        <f t="shared" si="34"/>
        <v>0</v>
      </c>
      <c r="K105" s="41">
        <f t="shared" si="38"/>
        <v>0</v>
      </c>
      <c r="L105" s="41">
        <f t="shared" si="35"/>
        <v>0</v>
      </c>
      <c r="M105" s="41">
        <f t="shared" si="39"/>
        <v>0</v>
      </c>
      <c r="N105" s="41">
        <f t="shared" si="24"/>
        <v>0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7"/>
        <v>0</v>
      </c>
      <c r="D106" s="18">
        <f t="shared" si="28"/>
        <v>0</v>
      </c>
      <c r="E106" s="18">
        <f t="shared" si="29"/>
        <v>0</v>
      </c>
      <c r="F106" s="18">
        <f t="shared" si="30"/>
        <v>0</v>
      </c>
      <c r="G106" s="18">
        <f t="shared" si="31"/>
        <v>0</v>
      </c>
      <c r="H106" s="41">
        <f t="shared" si="32"/>
        <v>0</v>
      </c>
      <c r="I106" s="41">
        <f t="shared" si="33"/>
        <v>0</v>
      </c>
      <c r="J106" s="41">
        <f t="shared" si="34"/>
        <v>0</v>
      </c>
      <c r="K106" s="41">
        <f t="shared" si="38"/>
        <v>0</v>
      </c>
      <c r="L106" s="41">
        <f t="shared" si="35"/>
        <v>0</v>
      </c>
      <c r="M106" s="41">
        <f t="shared" si="39"/>
        <v>0</v>
      </c>
      <c r="N106" s="41">
        <f t="shared" si="24"/>
        <v>0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7"/>
        <v>0</v>
      </c>
      <c r="D107" s="18">
        <f t="shared" si="28"/>
        <v>0</v>
      </c>
      <c r="E107" s="18">
        <f t="shared" si="29"/>
        <v>0</v>
      </c>
      <c r="F107" s="18">
        <f t="shared" si="30"/>
        <v>0</v>
      </c>
      <c r="G107" s="18">
        <f t="shared" si="31"/>
        <v>0</v>
      </c>
      <c r="H107" s="41">
        <f t="shared" si="32"/>
        <v>0</v>
      </c>
      <c r="I107" s="41">
        <f t="shared" si="33"/>
        <v>0</v>
      </c>
      <c r="J107" s="41">
        <f t="shared" si="34"/>
        <v>0</v>
      </c>
      <c r="K107" s="41">
        <f t="shared" si="38"/>
        <v>0</v>
      </c>
      <c r="L107" s="41">
        <f t="shared" si="35"/>
        <v>0</v>
      </c>
      <c r="M107" s="41">
        <f t="shared" si="39"/>
        <v>0</v>
      </c>
      <c r="N107" s="41">
        <f t="shared" si="24"/>
        <v>0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4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216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'Sil Carb'!I46</f>
        <v>400.10578512396694</v>
      </c>
      <c r="F4" s="14" t="s">
        <v>212</v>
      </c>
      <c r="G4" s="15"/>
    </row>
    <row r="5" spans="1:17" ht="15.75">
      <c r="A5" s="14" t="s">
        <v>184</v>
      </c>
      <c r="B5" s="14"/>
      <c r="E5" s="26">
        <f>'Sil Carb'!I47</f>
        <v>0.19457509254838343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'Sil Carb'!I48</f>
        <v>81.972548514251244</v>
      </c>
      <c r="F7" s="14" t="s">
        <v>212</v>
      </c>
    </row>
    <row r="8" spans="1:17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'Sil Carb'!G42</f>
        <v>2.0005289256198346</v>
      </c>
      <c r="F10" s="14"/>
    </row>
    <row r="11" spans="1:17">
      <c r="A11" s="14" t="s">
        <v>214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R17" s="24"/>
      <c r="U17" s="25"/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Carb'!I54</f>
        <v>10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1">
        <v>0</v>
      </c>
      <c r="F20" s="17" t="s">
        <v>110</v>
      </c>
      <c r="G20" s="23"/>
      <c r="H20" s="23"/>
      <c r="R20" s="24"/>
      <c r="U20" s="25"/>
    </row>
    <row r="21" spans="1:21">
      <c r="E21" s="41">
        <f>'Sil Carb'!I53</f>
        <v>0.25</v>
      </c>
      <c r="F21" s="17" t="s">
        <v>111</v>
      </c>
      <c r="G21" s="23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R22" s="24"/>
      <c r="U22" s="25"/>
    </row>
    <row r="23" spans="1:21">
      <c r="A23" s="12" t="s">
        <v>122</v>
      </c>
      <c r="R23" s="24"/>
      <c r="U23" s="25"/>
    </row>
    <row r="24" spans="1:21">
      <c r="B24" s="12" t="s">
        <v>194</v>
      </c>
      <c r="E24" s="42">
        <f>'Sil Carb'!I44</f>
        <v>1580.3120661157025</v>
      </c>
      <c r="F24" s="12" t="s">
        <v>195</v>
      </c>
    </row>
    <row r="25" spans="1:21">
      <c r="B25" s="12" t="s">
        <v>193</v>
      </c>
      <c r="E25" s="42">
        <f>'Sil Carb'!I55+'Sil Carb'!I56</f>
        <v>95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-494.34804680820918</v>
      </c>
      <c r="D32" s="12" t="s">
        <v>58</v>
      </c>
      <c r="E32" s="84">
        <f>C32/E$24</f>
        <v>-0.31281672614402195</v>
      </c>
    </row>
    <row r="33" spans="1:19">
      <c r="A33" s="26">
        <v>0.05</v>
      </c>
      <c r="B33" s="12" t="s">
        <v>128</v>
      </c>
      <c r="C33" s="29">
        <f t="shared" ref="C33:C37" si="0">NPV(A33,N$92:N$107)</f>
        <v>-549.55437241467519</v>
      </c>
      <c r="D33" s="12" t="s">
        <v>58</v>
      </c>
      <c r="E33" s="84">
        <f t="shared" ref="E33:E37" si="1">C33/E$24</f>
        <v>-0.34775053876886591</v>
      </c>
    </row>
    <row r="34" spans="1:19">
      <c r="A34" s="26">
        <v>0.1</v>
      </c>
      <c r="B34" s="12" t="s">
        <v>128</v>
      </c>
      <c r="C34" s="29">
        <f t="shared" si="0"/>
        <v>-597.5549442653371</v>
      </c>
      <c r="D34" s="12" t="s">
        <v>58</v>
      </c>
      <c r="E34" s="84">
        <f t="shared" si="1"/>
        <v>-0.37812464833865739</v>
      </c>
    </row>
    <row r="35" spans="1:19">
      <c r="A35" s="26">
        <v>0.125</v>
      </c>
      <c r="B35" s="12" t="s">
        <v>128</v>
      </c>
      <c r="C35" s="29">
        <f t="shared" si="0"/>
        <v>-617.9789265269477</v>
      </c>
      <c r="D35" s="12" t="s">
        <v>58</v>
      </c>
      <c r="E35" s="84">
        <f t="shared" si="1"/>
        <v>-0.39104866676484795</v>
      </c>
      <c r="F35" s="14"/>
    </row>
    <row r="36" spans="1:19">
      <c r="A36" s="26">
        <v>0.15</v>
      </c>
      <c r="B36" s="12" t="s">
        <v>128</v>
      </c>
      <c r="C36" s="29">
        <f t="shared" si="0"/>
        <v>-635.96426223005642</v>
      </c>
      <c r="D36" s="12" t="s">
        <v>58</v>
      </c>
      <c r="E36" s="84">
        <f t="shared" si="1"/>
        <v>-0.40242954278847753</v>
      </c>
      <c r="F36" s="14"/>
    </row>
    <row r="37" spans="1:19">
      <c r="A37" s="26">
        <v>0.2</v>
      </c>
      <c r="B37" s="12" t="s">
        <v>128</v>
      </c>
      <c r="C37" s="29">
        <f t="shared" si="0"/>
        <v>-665.01502640686795</v>
      </c>
      <c r="D37" s="12" t="s">
        <v>58</v>
      </c>
      <c r="E37" s="84">
        <f t="shared" si="1"/>
        <v>-0.42081247157811608</v>
      </c>
      <c r="F37" s="14"/>
    </row>
    <row r="38" spans="1:19">
      <c r="A38" s="12" t="s">
        <v>197</v>
      </c>
      <c r="C38" s="25">
        <f>IF(SUM(N92:N107)&lt;0,0,IRR(N92:N107))</f>
        <v>0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596.78055316186965</v>
      </c>
      <c r="I41" s="14" t="s">
        <v>135</v>
      </c>
      <c r="J41" s="33">
        <f>C107</f>
        <v>0</v>
      </c>
      <c r="K41" s="14" t="s">
        <v>136</v>
      </c>
      <c r="L41" s="33">
        <f>F41+H41/E$42+J41</f>
        <v>99.46342552697827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400.10578512396694</v>
      </c>
      <c r="F50" s="18">
        <f>E50*E$11</f>
        <v>400.10578512396694</v>
      </c>
      <c r="G50" s="35">
        <f>F50*(1-$E$27)</f>
        <v>350.09256198347106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329.36082502930424</v>
      </c>
      <c r="F51" s="18">
        <f t="shared" ref="F51:F64" si="7">E51*E$11</f>
        <v>329.36082502930424</v>
      </c>
      <c r="G51" s="35">
        <f t="shared" ref="G51:G64" si="8">F51*(1-$E$27)</f>
        <v>288.19072190064122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271.12468026517899</v>
      </c>
      <c r="F52" s="18">
        <f t="shared" si="7"/>
        <v>271.12468026517899</v>
      </c>
      <c r="G52" s="35">
        <f t="shared" si="8"/>
        <v>237.23409523203162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223.18559665483977</v>
      </c>
      <c r="F53" s="18">
        <f t="shared" si="7"/>
        <v>223.18559665483977</v>
      </c>
      <c r="G53" s="35">
        <f t="shared" si="8"/>
        <v>195.28739707298479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183.62497940110686</v>
      </c>
      <c r="F54" s="18">
        <f t="shared" si="7"/>
        <v>183.62497940110686</v>
      </c>
      <c r="G54" s="35">
        <f t="shared" si="8"/>
        <v>160.6718569759685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151.15721131799944</v>
      </c>
      <c r="F55" s="18">
        <f t="shared" si="7"/>
        <v>151.15721131799944</v>
      </c>
      <c r="G55" s="35">
        <f t="shared" si="8"/>
        <v>132.2625599032495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124.43025239787509</v>
      </c>
      <c r="F56" s="18">
        <f t="shared" si="7"/>
        <v>124.43025239787509</v>
      </c>
      <c r="G56" s="35">
        <f t="shared" si="8"/>
        <v>108.87647084814071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102.42903779976808</v>
      </c>
      <c r="F57" s="18">
        <f t="shared" si="7"/>
        <v>102.42903779976808</v>
      </c>
      <c r="G57" s="35">
        <f t="shared" si="8"/>
        <v>89.625408074797065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84.273045563712216</v>
      </c>
      <c r="F58" s="18">
        <f t="shared" si="7"/>
        <v>84.273045563712216</v>
      </c>
      <c r="G58" s="35">
        <f t="shared" si="8"/>
        <v>73.738914868248187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81.972548514251244</v>
      </c>
      <c r="F59" s="18">
        <f t="shared" si="7"/>
        <v>81.972548514251244</v>
      </c>
      <c r="G59" s="35">
        <f t="shared" si="8"/>
        <v>71.72597994996984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0</v>
      </c>
      <c r="F60" s="18">
        <f t="shared" si="7"/>
        <v>0</v>
      </c>
      <c r="G60" s="35">
        <f t="shared" si="8"/>
        <v>0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0</v>
      </c>
      <c r="F61" s="18">
        <f t="shared" si="7"/>
        <v>0</v>
      </c>
      <c r="G61" s="35">
        <f t="shared" si="8"/>
        <v>0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0</v>
      </c>
      <c r="F62" s="18">
        <f t="shared" si="7"/>
        <v>0</v>
      </c>
      <c r="G62" s="35">
        <f t="shared" si="8"/>
        <v>0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0</v>
      </c>
      <c r="F63" s="18">
        <f t="shared" si="7"/>
        <v>0</v>
      </c>
      <c r="G63" s="35">
        <f t="shared" si="8"/>
        <v>0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0</v>
      </c>
      <c r="F64" s="18">
        <f t="shared" si="7"/>
        <v>0</v>
      </c>
      <c r="G64" s="35">
        <f t="shared" si="8"/>
        <v>0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2.0005289256198346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132.70922858808848</v>
      </c>
      <c r="J71" s="39">
        <f>IF(E51=0,0,IF(E$6=1,(E$4)/(E$5/365)*LN((E$4)/E51)/1000,(E$4)^E$6*((E$4)^(1-E$6)-E51^(1-E$6))/((1-E$6)*E$5/365)/1000))</f>
        <v>132.70922858808848</v>
      </c>
      <c r="K71" s="15">
        <f>I71*E$11</f>
        <v>132.70922858808848</v>
      </c>
      <c r="L71" s="39">
        <f>J71*E$11</f>
        <v>132.70922858808848</v>
      </c>
      <c r="M71" s="15">
        <f t="shared" ref="M71:M85" si="14">IF(K71=0,0,(H93-I93)/H93*K71)</f>
        <v>116.12057501457744</v>
      </c>
      <c r="N71" s="15">
        <f>M71</f>
        <v>116.12057501457744</v>
      </c>
    </row>
    <row r="72" spans="1:14">
      <c r="A72" s="38">
        <f t="shared" si="10"/>
        <v>43101</v>
      </c>
      <c r="B72" s="15">
        <f>IF(E52=0,0,B71)</f>
        <v>2.0005289256198346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109.24416152401471</v>
      </c>
      <c r="J72" s="39">
        <f>IF(E52=0,J71,IF(E$6=1,(E$4)/(E$5/365)*LN((E$4)/E52)/1000,(E$4)^E$6*((E$4)^(1-E$6)-E52^(1-E$6))/((1-E$6)*E$5/365)/1000))</f>
        <v>241.95339011210319</v>
      </c>
      <c r="K72" s="15">
        <f t="shared" ref="K72:K85" si="18">I72*E$11</f>
        <v>109.24416152401471</v>
      </c>
      <c r="L72" s="39">
        <f t="shared" ref="L72:L85" si="19">J72*E$11</f>
        <v>241.95339011210319</v>
      </c>
      <c r="M72" s="15">
        <f t="shared" si="14"/>
        <v>95.588641333512868</v>
      </c>
      <c r="N72" s="15">
        <f t="shared" ref="N72:N85" si="20">M72+N71</f>
        <v>211.70921634809031</v>
      </c>
    </row>
    <row r="73" spans="1:14">
      <c r="A73" s="38">
        <f t="shared" si="10"/>
        <v>43466</v>
      </c>
      <c r="B73" s="15">
        <f t="shared" ref="B73:B84" si="21">IF(E53=0,0,B72)</f>
        <v>2.0005289256198346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89.928085288834097</v>
      </c>
      <c r="J73" s="39">
        <f t="shared" ref="J73:J84" si="23">IF(E53=0,J72,IF(E$6=1,(E$4)/(E$5/365)*LN((E$4)/E53)/1000,(E$4)^E$6*((E$4)^(1-E$6)-E53^(1-E$6))/((1-E$6)*E$5/365)/1000))</f>
        <v>331.88147540093729</v>
      </c>
      <c r="K73" s="15">
        <f t="shared" si="18"/>
        <v>89.928085288834097</v>
      </c>
      <c r="L73" s="39">
        <f t="shared" si="19"/>
        <v>331.88147540093729</v>
      </c>
      <c r="M73" s="15">
        <f t="shared" si="14"/>
        <v>78.687074627729828</v>
      </c>
      <c r="N73" s="15">
        <f t="shared" si="20"/>
        <v>290.39629097582014</v>
      </c>
    </row>
    <row r="74" spans="1:14">
      <c r="A74" s="38">
        <f t="shared" si="10"/>
        <v>43831</v>
      </c>
      <c r="B74" s="15">
        <f t="shared" si="21"/>
        <v>2.0005289256198346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74.211067349341874</v>
      </c>
      <c r="J74" s="39">
        <f t="shared" si="23"/>
        <v>406.09254275027916</v>
      </c>
      <c r="K74" s="15">
        <f t="shared" si="18"/>
        <v>74.211067349341874</v>
      </c>
      <c r="L74" s="39">
        <f t="shared" si="19"/>
        <v>406.09254275027916</v>
      </c>
      <c r="M74" s="15">
        <f t="shared" si="14"/>
        <v>64.934683930674154</v>
      </c>
      <c r="N74" s="15">
        <f t="shared" si="20"/>
        <v>355.3309749064943</v>
      </c>
    </row>
    <row r="75" spans="1:14">
      <c r="A75" s="38">
        <f t="shared" si="10"/>
        <v>44197</v>
      </c>
      <c r="B75" s="15">
        <f t="shared" si="21"/>
        <v>2.0005289256198346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60.905716117736858</v>
      </c>
      <c r="J75" s="39">
        <f t="shared" si="23"/>
        <v>466.99825886801602</v>
      </c>
      <c r="K75" s="15">
        <f t="shared" si="18"/>
        <v>60.905716117736858</v>
      </c>
      <c r="L75" s="39">
        <f t="shared" si="19"/>
        <v>466.99825886801602</v>
      </c>
      <c r="M75" s="15">
        <f t="shared" si="14"/>
        <v>53.292501603019751</v>
      </c>
      <c r="N75" s="15">
        <f t="shared" si="20"/>
        <v>408.62347650951403</v>
      </c>
    </row>
    <row r="76" spans="1:14">
      <c r="A76" s="38">
        <f t="shared" si="10"/>
        <v>44562</v>
      </c>
      <c r="B76" s="15">
        <f t="shared" si="21"/>
        <v>2.0005289256198346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50.136632999003268</v>
      </c>
      <c r="J76" s="39">
        <f t="shared" si="23"/>
        <v>517.13489186701929</v>
      </c>
      <c r="K76" s="15">
        <f t="shared" si="18"/>
        <v>50.136632999003268</v>
      </c>
      <c r="L76" s="39">
        <f t="shared" si="19"/>
        <v>517.13489186701929</v>
      </c>
      <c r="M76" s="15">
        <f t="shared" si="14"/>
        <v>43.86955387412786</v>
      </c>
      <c r="N76" s="15">
        <f t="shared" si="20"/>
        <v>452.49303038364189</v>
      </c>
    </row>
    <row r="77" spans="1:14">
      <c r="A77" s="38">
        <f t="shared" si="10"/>
        <v>44927</v>
      </c>
      <c r="B77" s="15">
        <f t="shared" si="21"/>
        <v>2.0005289256198346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41.2716921941701</v>
      </c>
      <c r="J77" s="39">
        <f t="shared" si="23"/>
        <v>558.40658406118939</v>
      </c>
      <c r="K77" s="15">
        <f t="shared" si="18"/>
        <v>41.2716921941701</v>
      </c>
      <c r="L77" s="39">
        <f t="shared" si="19"/>
        <v>558.40658406118939</v>
      </c>
      <c r="M77" s="15">
        <f t="shared" si="14"/>
        <v>36.112730669898838</v>
      </c>
      <c r="N77" s="15">
        <f t="shared" si="20"/>
        <v>488.60576105354073</v>
      </c>
    </row>
    <row r="78" spans="1:14">
      <c r="A78" s="38">
        <f t="shared" si="10"/>
        <v>45292</v>
      </c>
      <c r="B78" s="15">
        <f t="shared" si="21"/>
        <v>2.0005289256198346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34.05850707491004</v>
      </c>
      <c r="J78" s="39">
        <f t="shared" si="23"/>
        <v>592.46509113609943</v>
      </c>
      <c r="K78" s="15">
        <f t="shared" si="18"/>
        <v>34.05850707491004</v>
      </c>
      <c r="L78" s="39">
        <f t="shared" si="19"/>
        <v>592.46509113609943</v>
      </c>
      <c r="M78" s="15">
        <f t="shared" si="14"/>
        <v>29.801193690546285</v>
      </c>
      <c r="N78" s="15">
        <f t="shared" si="20"/>
        <v>518.40695474408699</v>
      </c>
    </row>
    <row r="79" spans="1:14">
      <c r="A79" s="38">
        <f t="shared" si="10"/>
        <v>45658</v>
      </c>
      <c r="B79" s="15">
        <f t="shared" si="21"/>
        <v>2.0005289256198346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4.3154620257702163</v>
      </c>
      <c r="J79" s="39">
        <f t="shared" si="23"/>
        <v>596.78055316186965</v>
      </c>
      <c r="K79" s="15">
        <f t="shared" si="18"/>
        <v>4.3154620257702163</v>
      </c>
      <c r="L79" s="39">
        <f t="shared" si="19"/>
        <v>596.78055316186965</v>
      </c>
      <c r="M79" s="15">
        <f t="shared" si="14"/>
        <v>3.7760292725489397</v>
      </c>
      <c r="N79" s="15">
        <f t="shared" si="20"/>
        <v>522.18298401663594</v>
      </c>
    </row>
    <row r="80" spans="1:14">
      <c r="A80" s="38">
        <f t="shared" si="10"/>
        <v>46023</v>
      </c>
      <c r="B80" s="15">
        <f t="shared" si="21"/>
        <v>0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0</v>
      </c>
      <c r="J80" s="39">
        <f t="shared" si="23"/>
        <v>596.78055316186965</v>
      </c>
      <c r="K80" s="15">
        <f t="shared" si="18"/>
        <v>0</v>
      </c>
      <c r="L80" s="39">
        <f t="shared" si="19"/>
        <v>596.78055316186965</v>
      </c>
      <c r="M80" s="15">
        <f t="shared" si="14"/>
        <v>0</v>
      </c>
      <c r="N80" s="15">
        <f t="shared" si="20"/>
        <v>522.18298401663594</v>
      </c>
    </row>
    <row r="81" spans="1:18">
      <c r="A81" s="38">
        <f t="shared" si="10"/>
        <v>46388</v>
      </c>
      <c r="B81" s="15">
        <f t="shared" si="21"/>
        <v>0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0</v>
      </c>
      <c r="J81" s="39">
        <f t="shared" si="23"/>
        <v>596.78055316186965</v>
      </c>
      <c r="K81" s="15">
        <f t="shared" si="18"/>
        <v>0</v>
      </c>
      <c r="L81" s="39">
        <f t="shared" si="19"/>
        <v>596.78055316186965</v>
      </c>
      <c r="M81" s="15">
        <f t="shared" si="14"/>
        <v>0</v>
      </c>
      <c r="N81" s="15">
        <f t="shared" si="20"/>
        <v>522.18298401663594</v>
      </c>
    </row>
    <row r="82" spans="1:18">
      <c r="A82" s="38">
        <f t="shared" si="10"/>
        <v>46753</v>
      </c>
      <c r="B82" s="15">
        <f t="shared" si="21"/>
        <v>0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0</v>
      </c>
      <c r="J82" s="39">
        <f t="shared" si="23"/>
        <v>596.78055316186965</v>
      </c>
      <c r="K82" s="15">
        <f t="shared" si="18"/>
        <v>0</v>
      </c>
      <c r="L82" s="39">
        <f t="shared" si="19"/>
        <v>596.78055316186965</v>
      </c>
      <c r="M82" s="15">
        <f t="shared" si="14"/>
        <v>0</v>
      </c>
      <c r="N82" s="15">
        <f t="shared" si="20"/>
        <v>522.18298401663594</v>
      </c>
    </row>
    <row r="83" spans="1:18">
      <c r="A83" s="38">
        <f t="shared" si="10"/>
        <v>47119</v>
      </c>
      <c r="B83" s="15">
        <f t="shared" si="21"/>
        <v>0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0</v>
      </c>
      <c r="J83" s="39">
        <f t="shared" si="23"/>
        <v>596.78055316186965</v>
      </c>
      <c r="K83" s="15">
        <f t="shared" si="18"/>
        <v>0</v>
      </c>
      <c r="L83" s="39">
        <f t="shared" si="19"/>
        <v>596.78055316186965</v>
      </c>
      <c r="M83" s="15">
        <f t="shared" si="14"/>
        <v>0</v>
      </c>
      <c r="N83" s="15">
        <f t="shared" si="20"/>
        <v>522.18298401663594</v>
      </c>
    </row>
    <row r="84" spans="1:18">
      <c r="A84" s="38">
        <f t="shared" si="10"/>
        <v>47484</v>
      </c>
      <c r="B84" s="15">
        <f t="shared" si="21"/>
        <v>0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0</v>
      </c>
      <c r="J84" s="39">
        <f t="shared" si="23"/>
        <v>596.78055316186965</v>
      </c>
      <c r="K84" s="15">
        <f t="shared" si="18"/>
        <v>0</v>
      </c>
      <c r="L84" s="39">
        <f t="shared" si="19"/>
        <v>596.78055316186965</v>
      </c>
      <c r="M84" s="15">
        <f t="shared" si="14"/>
        <v>0</v>
      </c>
      <c r="N84" s="15">
        <f t="shared" si="20"/>
        <v>522.18298401663594</v>
      </c>
    </row>
    <row r="85" spans="1:18">
      <c r="A85" s="38">
        <f t="shared" si="10"/>
        <v>47849</v>
      </c>
      <c r="B85" s="15">
        <f>IF(E64=0,0,B84)</f>
        <v>0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0</v>
      </c>
      <c r="J85" s="39">
        <f>IF(E64=0,J84,IF(E$6=1,(E$4)/(E$5/365)*LN((E$4)/E7)/1000,(E$4)^E$6*((E$4)^(1-E$6)-E7^(1-E$6))/((1-E$6)*E$5/365)/1000))</f>
        <v>596.78055316186965</v>
      </c>
      <c r="K85" s="15">
        <f t="shared" si="18"/>
        <v>0</v>
      </c>
      <c r="L85" s="39">
        <f t="shared" si="19"/>
        <v>596.78055316186965</v>
      </c>
      <c r="M85" s="15">
        <f t="shared" si="14"/>
        <v>0</v>
      </c>
      <c r="N85" s="15">
        <f t="shared" si="20"/>
        <v>522.18298401663594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1580.3120661157025</v>
      </c>
      <c r="N92" s="41">
        <f t="shared" ref="N92:N107" si="24">L92-M92</f>
        <v>-1580.3120661157025</v>
      </c>
    </row>
    <row r="93" spans="1:18">
      <c r="A93" s="38">
        <f t="shared" ref="A93:A107" si="25">A71</f>
        <v>42736</v>
      </c>
      <c r="B93" s="18">
        <f t="shared" ref="B93:B107" si="26">I71*$G$9*1000</f>
        <v>0</v>
      </c>
      <c r="C93" s="18">
        <f t="shared" ref="C93:C107" si="27">J71*$G$9*1000</f>
        <v>0</v>
      </c>
      <c r="D93" s="18">
        <f t="shared" ref="D93:D107" si="28">K71*$G$9*1000</f>
        <v>0</v>
      </c>
      <c r="E93" s="18">
        <f t="shared" ref="E93:E107" si="29">L71*$G$9*1000</f>
        <v>0</v>
      </c>
      <c r="F93" s="18">
        <f t="shared" ref="F93:F107" si="30">M71*$G$9*1000</f>
        <v>0</v>
      </c>
      <c r="G93" s="18">
        <f t="shared" ref="G93:G107" si="31">N71*$G$9*1000</f>
        <v>0</v>
      </c>
      <c r="H93" s="41">
        <f t="shared" ref="H93:H107" si="32">E71*K50+K71*L50+D93*M50/1000</f>
        <v>646.5436925541876</v>
      </c>
      <c r="I93" s="41">
        <f t="shared" ref="I93:I107" si="33">E71*K50*E$27+E71*(K50-E$14)*G$27+K71*L50*E$27+K71*(L50-E$15)*G$27+D93*M50*(E$27+G$27)/1000</f>
        <v>80.81796156927345</v>
      </c>
      <c r="J93" s="41">
        <f t="shared" ref="J93:J107" si="34">C71*K50*I$27+C71*(K50-E$14)*K$27+I71*L50*I$27+I71*(L50-E$15)*K$27+B93*M50*(I$27+K$27)/1000</f>
        <v>0</v>
      </c>
      <c r="K93" s="41">
        <f>IF(H93=0,0,((B71*E$16+E$19)*12+E71*(E$17+E$20)+K71*(E$18+E$21))*(1+E$22)^((A50-A$50)/365))</f>
        <v>153.17730714702213</v>
      </c>
      <c r="L93" s="41">
        <f t="shared" ref="L93:L107" si="35">H93+J93-I93-K93</f>
        <v>412.54842383789207</v>
      </c>
      <c r="M93" s="41">
        <f t="shared" ref="M93:M99" si="36">IF(B72&lt;B71,E$25*(1+E$22/365)^(A50-A$50),0)</f>
        <v>0</v>
      </c>
      <c r="N93" s="41">
        <f t="shared" si="24"/>
        <v>412.54842383789207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7"/>
        <v>0</v>
      </c>
      <c r="D94" s="18">
        <f t="shared" si="28"/>
        <v>0</v>
      </c>
      <c r="E94" s="18">
        <f t="shared" si="29"/>
        <v>0</v>
      </c>
      <c r="F94" s="18">
        <f t="shared" si="30"/>
        <v>0</v>
      </c>
      <c r="G94" s="18">
        <f t="shared" si="31"/>
        <v>0</v>
      </c>
      <c r="H94" s="41">
        <f t="shared" si="32"/>
        <v>491.38477673776208</v>
      </c>
      <c r="I94" s="41">
        <f t="shared" si="33"/>
        <v>61.42309709222026</v>
      </c>
      <c r="J94" s="41">
        <f t="shared" si="34"/>
        <v>0</v>
      </c>
      <c r="K94" s="41">
        <f t="shared" ref="K94:K107" si="37">IF(H94=0,0,((B72*E$16+E$19)*12+E72*(E$17+E$20)+K72*(E$18+E$21))*(1+E$22)^((A51-A$50)/365))</f>
        <v>150.25726118862377</v>
      </c>
      <c r="L94" s="41">
        <f t="shared" si="35"/>
        <v>279.70441845691806</v>
      </c>
      <c r="M94" s="41">
        <f t="shared" si="36"/>
        <v>0</v>
      </c>
      <c r="N94" s="41">
        <f t="shared" si="24"/>
        <v>279.70441845691806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7"/>
        <v>0</v>
      </c>
      <c r="D95" s="18">
        <f t="shared" si="28"/>
        <v>0</v>
      </c>
      <c r="E95" s="18">
        <f t="shared" si="29"/>
        <v>0</v>
      </c>
      <c r="F95" s="18">
        <f t="shared" si="30"/>
        <v>0</v>
      </c>
      <c r="G95" s="18">
        <f t="shared" si="31"/>
        <v>0</v>
      </c>
      <c r="H95" s="41">
        <f t="shared" si="32"/>
        <v>408.92427948877145</v>
      </c>
      <c r="I95" s="41">
        <f t="shared" si="33"/>
        <v>51.115534936096431</v>
      </c>
      <c r="J95" s="41">
        <f t="shared" si="34"/>
        <v>0</v>
      </c>
      <c r="K95" s="41">
        <f t="shared" si="37"/>
        <v>148.23829498362576</v>
      </c>
      <c r="L95" s="41">
        <f t="shared" si="35"/>
        <v>209.57044956904926</v>
      </c>
      <c r="M95" s="41">
        <f t="shared" si="36"/>
        <v>0</v>
      </c>
      <c r="N95" s="41">
        <f t="shared" si="24"/>
        <v>209.57044956904926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7"/>
        <v>0</v>
      </c>
      <c r="D96" s="18">
        <f t="shared" si="28"/>
        <v>0</v>
      </c>
      <c r="E96" s="18">
        <f t="shared" si="29"/>
        <v>0</v>
      </c>
      <c r="F96" s="18">
        <f t="shared" si="30"/>
        <v>0</v>
      </c>
      <c r="G96" s="18">
        <f t="shared" si="31"/>
        <v>0</v>
      </c>
      <c r="H96" s="41">
        <f t="shared" si="32"/>
        <v>356.78948304481332</v>
      </c>
      <c r="I96" s="41">
        <f t="shared" si="33"/>
        <v>44.598685380601665</v>
      </c>
      <c r="J96" s="41">
        <f t="shared" si="34"/>
        <v>0</v>
      </c>
      <c r="K96" s="41">
        <f t="shared" si="37"/>
        <v>147.03330458991508</v>
      </c>
      <c r="L96" s="41">
        <f t="shared" si="35"/>
        <v>165.15749307429661</v>
      </c>
      <c r="M96" s="41">
        <f t="shared" si="36"/>
        <v>0</v>
      </c>
      <c r="N96" s="41">
        <f t="shared" si="24"/>
        <v>165.15749307429661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7"/>
        <v>0</v>
      </c>
      <c r="D97" s="18">
        <f t="shared" si="28"/>
        <v>0</v>
      </c>
      <c r="E97" s="18">
        <f t="shared" si="29"/>
        <v>0</v>
      </c>
      <c r="F97" s="18">
        <f t="shared" si="30"/>
        <v>0</v>
      </c>
      <c r="G97" s="18">
        <f t="shared" si="31"/>
        <v>0</v>
      </c>
      <c r="H97" s="41">
        <f t="shared" si="32"/>
        <v>301.98317042023206</v>
      </c>
      <c r="I97" s="41">
        <f t="shared" si="33"/>
        <v>37.747896302529007</v>
      </c>
      <c r="J97" s="41">
        <f t="shared" si="34"/>
        <v>0</v>
      </c>
      <c r="K97" s="41">
        <f t="shared" si="37"/>
        <v>146.38137719005647</v>
      </c>
      <c r="L97" s="41">
        <f t="shared" si="35"/>
        <v>117.85389692764659</v>
      </c>
      <c r="M97" s="41">
        <f t="shared" si="36"/>
        <v>0</v>
      </c>
      <c r="N97" s="41">
        <f t="shared" si="24"/>
        <v>117.85389692764659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7"/>
        <v>0</v>
      </c>
      <c r="D98" s="18">
        <f t="shared" si="28"/>
        <v>0</v>
      </c>
      <c r="E98" s="18">
        <f t="shared" si="29"/>
        <v>0</v>
      </c>
      <c r="F98" s="18">
        <f t="shared" si="30"/>
        <v>0</v>
      </c>
      <c r="G98" s="18">
        <f t="shared" si="31"/>
        <v>0</v>
      </c>
      <c r="H98" s="41">
        <f t="shared" si="32"/>
        <v>256.02737628523062</v>
      </c>
      <c r="I98" s="41">
        <f t="shared" si="33"/>
        <v>32.003422035653827</v>
      </c>
      <c r="J98" s="41">
        <f t="shared" si="34"/>
        <v>0</v>
      </c>
      <c r="K98" s="41">
        <f t="shared" si="37"/>
        <v>146.33635897611833</v>
      </c>
      <c r="L98" s="41">
        <f t="shared" si="35"/>
        <v>77.687595273458442</v>
      </c>
      <c r="M98" s="41">
        <f t="shared" si="36"/>
        <v>0</v>
      </c>
      <c r="N98" s="41">
        <f t="shared" si="24"/>
        <v>77.687595273458442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7"/>
        <v>0</v>
      </c>
      <c r="D99" s="18">
        <f t="shared" si="28"/>
        <v>0</v>
      </c>
      <c r="E99" s="18">
        <f t="shared" si="29"/>
        <v>0</v>
      </c>
      <c r="F99" s="18">
        <f t="shared" si="30"/>
        <v>0</v>
      </c>
      <c r="G99" s="18">
        <f t="shared" si="31"/>
        <v>0</v>
      </c>
      <c r="H99" s="41">
        <f t="shared" si="32"/>
        <v>216.90260876253726</v>
      </c>
      <c r="I99" s="41">
        <f t="shared" si="33"/>
        <v>27.112826095317157</v>
      </c>
      <c r="J99" s="41">
        <f t="shared" si="34"/>
        <v>0</v>
      </c>
      <c r="K99" s="41">
        <f t="shared" si="37"/>
        <v>146.76710994733565</v>
      </c>
      <c r="L99" s="41">
        <f t="shared" si="35"/>
        <v>43.02267271988444</v>
      </c>
      <c r="M99" s="41">
        <f t="shared" si="36"/>
        <v>0</v>
      </c>
      <c r="N99" s="41">
        <f t="shared" si="24"/>
        <v>43.02267271988444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7"/>
        <v>0</v>
      </c>
      <c r="D100" s="18">
        <f t="shared" si="28"/>
        <v>0</v>
      </c>
      <c r="E100" s="18">
        <f t="shared" si="29"/>
        <v>0</v>
      </c>
      <c r="F100" s="18">
        <f t="shared" si="30"/>
        <v>0</v>
      </c>
      <c r="G100" s="18">
        <f t="shared" si="31"/>
        <v>0</v>
      </c>
      <c r="H100" s="41">
        <f t="shared" si="32"/>
        <v>183.66248406186557</v>
      </c>
      <c r="I100" s="41">
        <f t="shared" si="33"/>
        <v>22.957810507733196</v>
      </c>
      <c r="J100" s="41">
        <f t="shared" si="34"/>
        <v>0</v>
      </c>
      <c r="K100" s="41">
        <f t="shared" si="37"/>
        <v>147.63091916970157</v>
      </c>
      <c r="L100" s="41">
        <f t="shared" si="35"/>
        <v>13.073754384430799</v>
      </c>
      <c r="M100" s="41">
        <f>IF(B79&lt;B78,E$25*(1+E$22/365)^(A57-A$50),0)</f>
        <v>0</v>
      </c>
      <c r="N100" s="41">
        <f t="shared" si="24"/>
        <v>13.073754384430799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7"/>
        <v>0</v>
      </c>
      <c r="D101" s="18">
        <f t="shared" si="28"/>
        <v>0</v>
      </c>
      <c r="E101" s="18">
        <f t="shared" si="29"/>
        <v>0</v>
      </c>
      <c r="F101" s="18">
        <f t="shared" si="30"/>
        <v>0</v>
      </c>
      <c r="G101" s="18">
        <f t="shared" si="31"/>
        <v>0</v>
      </c>
      <c r="H101" s="41">
        <f t="shared" si="32"/>
        <v>23.679039383133709</v>
      </c>
      <c r="I101" s="41">
        <f t="shared" si="33"/>
        <v>2.9598799228917136</v>
      </c>
      <c r="J101" s="41">
        <f t="shared" si="34"/>
        <v>0</v>
      </c>
      <c r="K101" s="41">
        <f t="shared" si="37"/>
        <v>141.87858267348741</v>
      </c>
      <c r="L101" s="41">
        <f t="shared" si="35"/>
        <v>-121.15942321324542</v>
      </c>
      <c r="M101" s="41">
        <f t="shared" ref="M101:M107" si="38">IF(B80&lt;B79,E$25*(1+E$22/365)^(A58-A$50),0)</f>
        <v>111.49526172283747</v>
      </c>
      <c r="N101" s="41">
        <f t="shared" si="24"/>
        <v>-232.6546849360829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7"/>
        <v>0</v>
      </c>
      <c r="D102" s="18">
        <f t="shared" si="28"/>
        <v>0</v>
      </c>
      <c r="E102" s="18">
        <f t="shared" si="29"/>
        <v>0</v>
      </c>
      <c r="F102" s="18">
        <f t="shared" si="30"/>
        <v>0</v>
      </c>
      <c r="G102" s="18">
        <f t="shared" si="31"/>
        <v>0</v>
      </c>
      <c r="H102" s="41">
        <f t="shared" si="32"/>
        <v>0</v>
      </c>
      <c r="I102" s="41">
        <f t="shared" si="33"/>
        <v>0</v>
      </c>
      <c r="J102" s="41">
        <f t="shared" si="34"/>
        <v>0</v>
      </c>
      <c r="K102" s="41">
        <f t="shared" si="37"/>
        <v>0</v>
      </c>
      <c r="L102" s="41">
        <f t="shared" si="35"/>
        <v>0</v>
      </c>
      <c r="M102" s="41">
        <f t="shared" si="38"/>
        <v>0</v>
      </c>
      <c r="N102" s="41">
        <f t="shared" si="24"/>
        <v>0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7"/>
        <v>0</v>
      </c>
      <c r="D103" s="18">
        <f t="shared" si="28"/>
        <v>0</v>
      </c>
      <c r="E103" s="18">
        <f t="shared" si="29"/>
        <v>0</v>
      </c>
      <c r="F103" s="18">
        <f t="shared" si="30"/>
        <v>0</v>
      </c>
      <c r="G103" s="18">
        <f t="shared" si="31"/>
        <v>0</v>
      </c>
      <c r="H103" s="41">
        <f t="shared" si="32"/>
        <v>0</v>
      </c>
      <c r="I103" s="41">
        <f t="shared" si="33"/>
        <v>0</v>
      </c>
      <c r="J103" s="41">
        <f t="shared" si="34"/>
        <v>0</v>
      </c>
      <c r="K103" s="41">
        <f t="shared" si="37"/>
        <v>0</v>
      </c>
      <c r="L103" s="41">
        <f t="shared" si="35"/>
        <v>0</v>
      </c>
      <c r="M103" s="41">
        <f t="shared" si="38"/>
        <v>0</v>
      </c>
      <c r="N103" s="41">
        <f t="shared" si="24"/>
        <v>0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7"/>
        <v>0</v>
      </c>
      <c r="D104" s="18">
        <f t="shared" si="28"/>
        <v>0</v>
      </c>
      <c r="E104" s="18">
        <f t="shared" si="29"/>
        <v>0</v>
      </c>
      <c r="F104" s="18">
        <f t="shared" si="30"/>
        <v>0</v>
      </c>
      <c r="G104" s="18">
        <f t="shared" si="31"/>
        <v>0</v>
      </c>
      <c r="H104" s="41">
        <f t="shared" si="32"/>
        <v>0</v>
      </c>
      <c r="I104" s="41">
        <f t="shared" si="33"/>
        <v>0</v>
      </c>
      <c r="J104" s="41">
        <f t="shared" si="34"/>
        <v>0</v>
      </c>
      <c r="K104" s="41">
        <f t="shared" si="37"/>
        <v>0</v>
      </c>
      <c r="L104" s="41">
        <f t="shared" si="35"/>
        <v>0</v>
      </c>
      <c r="M104" s="41">
        <f t="shared" si="38"/>
        <v>0</v>
      </c>
      <c r="N104" s="41">
        <f t="shared" si="24"/>
        <v>0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7"/>
        <v>0</v>
      </c>
      <c r="D105" s="18">
        <f t="shared" si="28"/>
        <v>0</v>
      </c>
      <c r="E105" s="18">
        <f t="shared" si="29"/>
        <v>0</v>
      </c>
      <c r="F105" s="18">
        <f t="shared" si="30"/>
        <v>0</v>
      </c>
      <c r="G105" s="18">
        <f t="shared" si="31"/>
        <v>0</v>
      </c>
      <c r="H105" s="41">
        <f t="shared" si="32"/>
        <v>0</v>
      </c>
      <c r="I105" s="41">
        <f t="shared" si="33"/>
        <v>0</v>
      </c>
      <c r="J105" s="41">
        <f t="shared" si="34"/>
        <v>0</v>
      </c>
      <c r="K105" s="41">
        <f t="shared" si="37"/>
        <v>0</v>
      </c>
      <c r="L105" s="41">
        <f t="shared" si="35"/>
        <v>0</v>
      </c>
      <c r="M105" s="41">
        <f t="shared" si="38"/>
        <v>0</v>
      </c>
      <c r="N105" s="41">
        <f t="shared" si="24"/>
        <v>0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7"/>
        <v>0</v>
      </c>
      <c r="D106" s="18">
        <f t="shared" si="28"/>
        <v>0</v>
      </c>
      <c r="E106" s="18">
        <f t="shared" si="29"/>
        <v>0</v>
      </c>
      <c r="F106" s="18">
        <f t="shared" si="30"/>
        <v>0</v>
      </c>
      <c r="G106" s="18">
        <f t="shared" si="31"/>
        <v>0</v>
      </c>
      <c r="H106" s="41">
        <f t="shared" si="32"/>
        <v>0</v>
      </c>
      <c r="I106" s="41">
        <f t="shared" si="33"/>
        <v>0</v>
      </c>
      <c r="J106" s="41">
        <f t="shared" si="34"/>
        <v>0</v>
      </c>
      <c r="K106" s="41">
        <f t="shared" si="37"/>
        <v>0</v>
      </c>
      <c r="L106" s="41">
        <f t="shared" si="35"/>
        <v>0</v>
      </c>
      <c r="M106" s="41">
        <f t="shared" si="38"/>
        <v>0</v>
      </c>
      <c r="N106" s="41">
        <f t="shared" si="24"/>
        <v>0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7"/>
        <v>0</v>
      </c>
      <c r="D107" s="18">
        <f t="shared" si="28"/>
        <v>0</v>
      </c>
      <c r="E107" s="18">
        <f t="shared" si="29"/>
        <v>0</v>
      </c>
      <c r="F107" s="18">
        <f t="shared" si="30"/>
        <v>0</v>
      </c>
      <c r="G107" s="18">
        <f t="shared" si="31"/>
        <v>0</v>
      </c>
      <c r="H107" s="41">
        <f t="shared" si="32"/>
        <v>0</v>
      </c>
      <c r="I107" s="41">
        <f t="shared" si="33"/>
        <v>0</v>
      </c>
      <c r="J107" s="41">
        <f t="shared" si="34"/>
        <v>0</v>
      </c>
      <c r="K107" s="41">
        <f t="shared" si="37"/>
        <v>0</v>
      </c>
      <c r="L107" s="41">
        <f t="shared" si="35"/>
        <v>0</v>
      </c>
      <c r="M107" s="41">
        <f t="shared" si="38"/>
        <v>0</v>
      </c>
      <c r="N107" s="41">
        <f t="shared" si="24"/>
        <v>0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C28" workbookViewId="0">
      <selection activeCell="G44" sqref="G44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348</v>
      </c>
    </row>
    <row r="5" spans="1:11">
      <c r="B5" t="s">
        <v>83</v>
      </c>
      <c r="I5" s="3">
        <v>200</v>
      </c>
      <c r="J5" t="s">
        <v>61</v>
      </c>
      <c r="K5" t="s">
        <v>91</v>
      </c>
    </row>
    <row r="6" spans="1:11">
      <c r="B6" t="s">
        <v>85</v>
      </c>
      <c r="I6" s="3">
        <v>400</v>
      </c>
      <c r="J6" t="s">
        <v>61</v>
      </c>
      <c r="K6" t="s">
        <v>91</v>
      </c>
    </row>
    <row r="7" spans="1:11">
      <c r="B7" t="s">
        <v>84</v>
      </c>
      <c r="H7" s="3"/>
      <c r="I7" s="3"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v>150</v>
      </c>
      <c r="J8" t="s">
        <v>61</v>
      </c>
      <c r="K8" t="s">
        <v>91</v>
      </c>
    </row>
    <row r="9" spans="1:11">
      <c r="B9" t="s">
        <v>87</v>
      </c>
      <c r="H9" s="5"/>
      <c r="I9" s="3">
        <v>30</v>
      </c>
      <c r="J9" t="s">
        <v>61</v>
      </c>
      <c r="K9" t="s">
        <v>91</v>
      </c>
    </row>
    <row r="10" spans="1:11">
      <c r="B10" t="s">
        <v>88</v>
      </c>
      <c r="H10" s="5"/>
      <c r="I10" s="3">
        <v>50</v>
      </c>
      <c r="J10" t="s">
        <v>61</v>
      </c>
      <c r="K10" t="s">
        <v>91</v>
      </c>
    </row>
    <row r="11" spans="1:11">
      <c r="B11" t="s">
        <v>59</v>
      </c>
      <c r="I11" s="3">
        <v>20</v>
      </c>
      <c r="J11" t="s">
        <v>61</v>
      </c>
      <c r="K11" t="s">
        <v>91</v>
      </c>
    </row>
    <row r="12" spans="1:11">
      <c r="B12" t="s">
        <v>60</v>
      </c>
      <c r="I12" s="3">
        <v>20</v>
      </c>
      <c r="J12" t="s">
        <v>61</v>
      </c>
      <c r="K12" t="s">
        <v>91</v>
      </c>
    </row>
    <row r="13" spans="1:11">
      <c r="B13" t="s">
        <v>349</v>
      </c>
      <c r="I13" s="3">
        <v>500</v>
      </c>
      <c r="J13" t="s">
        <v>58</v>
      </c>
      <c r="K13" t="s">
        <v>91</v>
      </c>
    </row>
    <row r="14" spans="1:11">
      <c r="B14" t="s">
        <v>191</v>
      </c>
      <c r="I14" s="3">
        <f>'Cost inputs'!D34</f>
        <v>60</v>
      </c>
      <c r="J14" t="s">
        <v>61</v>
      </c>
      <c r="K14" t="s">
        <v>91</v>
      </c>
    </row>
    <row r="15" spans="1:11">
      <c r="B15" t="s">
        <v>199</v>
      </c>
      <c r="I15" s="3">
        <f>'Cost inputs'!D36</f>
        <v>150</v>
      </c>
      <c r="J15" t="s">
        <v>61</v>
      </c>
      <c r="K15" t="s">
        <v>91</v>
      </c>
    </row>
    <row r="16" spans="1:11">
      <c r="B16" t="s">
        <v>192</v>
      </c>
      <c r="I16" s="3">
        <f>'Cost inputs'!D37</f>
        <v>150</v>
      </c>
      <c r="J16" t="s">
        <v>58</v>
      </c>
      <c r="K16" t="s">
        <v>91</v>
      </c>
    </row>
    <row r="18" spans="1:11">
      <c r="A18" t="s">
        <v>89</v>
      </c>
    </row>
    <row r="19" spans="1:11">
      <c r="B19" t="s">
        <v>62</v>
      </c>
      <c r="C19" s="8">
        <f>Summary!E9</f>
        <v>99.990105601469239</v>
      </c>
      <c r="D19" t="s">
        <v>68</v>
      </c>
      <c r="E19" t="s">
        <v>77</v>
      </c>
      <c r="G19" t="s">
        <v>78</v>
      </c>
      <c r="I19" s="11">
        <f>Summary!F9</f>
        <v>443.31428571428569</v>
      </c>
      <c r="J19" t="s">
        <v>79</v>
      </c>
      <c r="K19" t="s">
        <v>350</v>
      </c>
    </row>
    <row r="20" spans="1:11">
      <c r="G20" t="s">
        <v>80</v>
      </c>
      <c r="I20" s="10">
        <f>Summary!H9</f>
        <v>35</v>
      </c>
      <c r="J20" t="s">
        <v>81</v>
      </c>
      <c r="K20" t="s">
        <v>350</v>
      </c>
    </row>
    <row r="21" spans="1:11">
      <c r="G21" t="s">
        <v>77</v>
      </c>
      <c r="I21" s="11">
        <f>I19*I20*C19/1000</f>
        <v>1551.4464785123969</v>
      </c>
      <c r="J21" t="s">
        <v>76</v>
      </c>
    </row>
    <row r="22" spans="1:11">
      <c r="A22" t="s">
        <v>200</v>
      </c>
      <c r="C22">
        <f>Summary!C24/2</f>
        <v>25</v>
      </c>
      <c r="D22" t="s">
        <v>201</v>
      </c>
      <c r="I22" s="8"/>
    </row>
    <row r="23" spans="1:11">
      <c r="E23" t="s">
        <v>63</v>
      </c>
      <c r="F23" t="s">
        <v>65</v>
      </c>
      <c r="G23">
        <f>C19/C22/2</f>
        <v>1.9998021120293847</v>
      </c>
      <c r="H23" t="s">
        <v>67</v>
      </c>
      <c r="I23" s="76">
        <f>G23*SUM(I$5,I$7,I9,I$12)</f>
        <v>699.93073921028463</v>
      </c>
      <c r="J23" t="s">
        <v>58</v>
      </c>
    </row>
    <row r="24" spans="1:11">
      <c r="E24" t="s">
        <v>64</v>
      </c>
      <c r="F24" t="s">
        <v>65</v>
      </c>
      <c r="G24">
        <f>C19/C22/2</f>
        <v>1.9998021120293847</v>
      </c>
      <c r="H24" t="s">
        <v>67</v>
      </c>
      <c r="I24" s="76">
        <f>G24*SUM(I$5,I$7,I11,I$12)</f>
        <v>679.93271808999077</v>
      </c>
      <c r="J24" t="s">
        <v>58</v>
      </c>
    </row>
    <row r="25" spans="1:11">
      <c r="E25" t="s">
        <v>66</v>
      </c>
      <c r="I25" s="76">
        <f>I13</f>
        <v>500</v>
      </c>
      <c r="J25" t="s">
        <v>58</v>
      </c>
    </row>
    <row r="26" spans="1:11">
      <c r="E26" t="s">
        <v>69</v>
      </c>
      <c r="I26" s="76">
        <f>SUM(I23:I25)</f>
        <v>1879.8634573002755</v>
      </c>
      <c r="J26" t="s">
        <v>58</v>
      </c>
    </row>
    <row r="28" spans="1:11">
      <c r="C28" t="s">
        <v>70</v>
      </c>
      <c r="G28" s="7">
        <f>Summary!E24</f>
        <v>60</v>
      </c>
      <c r="H28" t="s">
        <v>202</v>
      </c>
      <c r="I28" s="8">
        <f>G28*G23</f>
        <v>119.98812672176308</v>
      </c>
      <c r="J28" t="s">
        <v>73</v>
      </c>
    </row>
    <row r="29" spans="1:11">
      <c r="C29" t="s">
        <v>71</v>
      </c>
      <c r="I29" s="6">
        <f>(I28-I30)*0.365/I31</f>
        <v>0.17777322088999534</v>
      </c>
      <c r="J29" s="4" t="s">
        <v>74</v>
      </c>
    </row>
    <row r="30" spans="1:11">
      <c r="C30" t="s">
        <v>72</v>
      </c>
      <c r="I30" s="8">
        <f>I36*1000/(30.4*(I33*(1-I34)-I35))</f>
        <v>6.6433441778221045</v>
      </c>
      <c r="J30" t="s">
        <v>73</v>
      </c>
    </row>
    <row r="31" spans="1:11">
      <c r="C31" t="s">
        <v>75</v>
      </c>
      <c r="I31" s="8">
        <f>I21*I32</f>
        <v>232.71697177685951</v>
      </c>
      <c r="J31" t="s">
        <v>76</v>
      </c>
    </row>
    <row r="32" spans="1:11">
      <c r="C32" t="s">
        <v>82</v>
      </c>
      <c r="I32" s="9">
        <f>Summary!H24</f>
        <v>0.15</v>
      </c>
      <c r="K32" t="s">
        <v>91</v>
      </c>
    </row>
    <row r="33" spans="1:10">
      <c r="C33" t="s">
        <v>353</v>
      </c>
      <c r="I33" s="2">
        <f>Prices!G41</f>
        <v>68.017518133919609</v>
      </c>
      <c r="J33" s="4" t="s">
        <v>187</v>
      </c>
    </row>
    <row r="34" spans="1:10">
      <c r="C34" t="s">
        <v>354</v>
      </c>
      <c r="I34" s="66">
        <v>0.125</v>
      </c>
    </row>
    <row r="35" spans="1:10">
      <c r="C35" t="s">
        <v>185</v>
      </c>
      <c r="I35" s="3">
        <f>Summary!G46</f>
        <v>10</v>
      </c>
      <c r="J35" s="4" t="s">
        <v>187</v>
      </c>
    </row>
    <row r="36" spans="1:10">
      <c r="C36" t="s">
        <v>186</v>
      </c>
      <c r="I36" s="3">
        <f>Summary!F46</f>
        <v>10</v>
      </c>
      <c r="J36" s="4" t="s">
        <v>188</v>
      </c>
    </row>
    <row r="37" spans="1:10">
      <c r="C37" t="s">
        <v>191</v>
      </c>
      <c r="I37" s="3">
        <v>10</v>
      </c>
      <c r="J37" s="4" t="s">
        <v>61</v>
      </c>
    </row>
    <row r="38" spans="1:10">
      <c r="C38" t="s">
        <v>192</v>
      </c>
      <c r="I38" s="3">
        <v>100</v>
      </c>
      <c r="J38" s="4" t="s">
        <v>58</v>
      </c>
    </row>
    <row r="39" spans="1:10">
      <c r="C39" t="s">
        <v>203</v>
      </c>
      <c r="I39" s="3">
        <f>'Sil Gu Oil vert ec'!C34</f>
        <v>4549.8209637509462</v>
      </c>
      <c r="J39" s="4" t="s">
        <v>58</v>
      </c>
    </row>
    <row r="40" spans="1:10">
      <c r="C40" t="s">
        <v>204</v>
      </c>
      <c r="I40" s="3">
        <f>'Sil Gu Oil vert ec'!C35</f>
        <v>3971.2434808538505</v>
      </c>
      <c r="J40" s="4" t="s">
        <v>58</v>
      </c>
    </row>
    <row r="41" spans="1:10">
      <c r="C41" t="s">
        <v>197</v>
      </c>
      <c r="I41" s="44">
        <f>'Sil Gu Oil vert ec'!C37</f>
        <v>0.87374726638510114</v>
      </c>
      <c r="J41" s="4"/>
    </row>
    <row r="43" spans="1:10">
      <c r="A43" t="s">
        <v>200</v>
      </c>
      <c r="C43">
        <f>Summary!C25</f>
        <v>50</v>
      </c>
      <c r="D43" t="s">
        <v>460</v>
      </c>
      <c r="F43">
        <f>Summary!D25</f>
        <v>50</v>
      </c>
      <c r="G43" t="s">
        <v>461</v>
      </c>
      <c r="I43" s="8"/>
    </row>
    <row r="44" spans="1:10">
      <c r="E44" t="s">
        <v>63</v>
      </c>
      <c r="F44" t="s">
        <v>65</v>
      </c>
      <c r="G44">
        <f>C19/C43</f>
        <v>1.9998021120293847</v>
      </c>
      <c r="H44" t="s">
        <v>67</v>
      </c>
      <c r="I44" s="3">
        <f>G44*SUM(I$6,I$8,I$10,I$12)</f>
        <v>1239.8773094582186</v>
      </c>
      <c r="J44" t="s">
        <v>58</v>
      </c>
    </row>
    <row r="45" spans="1:10">
      <c r="E45" t="s">
        <v>64</v>
      </c>
      <c r="F45" t="s">
        <v>65</v>
      </c>
      <c r="G45">
        <f>C19/F43</f>
        <v>1.9998021120293847</v>
      </c>
      <c r="H45" t="s">
        <v>67</v>
      </c>
      <c r="I45" s="3">
        <f>G45*SUM(I$5,I$7,I11,I$12)</f>
        <v>679.93271808999077</v>
      </c>
      <c r="J45" t="s">
        <v>58</v>
      </c>
    </row>
    <row r="46" spans="1:10">
      <c r="E46" t="s">
        <v>66</v>
      </c>
      <c r="I46" s="3">
        <f>I13</f>
        <v>500</v>
      </c>
      <c r="J46" t="s">
        <v>58</v>
      </c>
    </row>
    <row r="47" spans="1:10">
      <c r="E47" t="s">
        <v>69</v>
      </c>
      <c r="I47" s="3">
        <f>SUM(I44:I46)</f>
        <v>2419.8100275482093</v>
      </c>
      <c r="J47" t="s">
        <v>58</v>
      </c>
    </row>
    <row r="49" spans="3:10">
      <c r="C49" t="s">
        <v>70</v>
      </c>
      <c r="G49" s="8">
        <f>Summary!E25</f>
        <v>150</v>
      </c>
      <c r="H49" t="s">
        <v>202</v>
      </c>
      <c r="I49" s="8">
        <f>G49*G44</f>
        <v>299.97031680440773</v>
      </c>
      <c r="J49" t="s">
        <v>73</v>
      </c>
    </row>
    <row r="50" spans="3:10">
      <c r="C50" t="s">
        <v>71</v>
      </c>
      <c r="I50" s="6">
        <f>(I49-I51)*0.365/I52</f>
        <v>0.19555120841457485</v>
      </c>
      <c r="J50" s="4" t="s">
        <v>74</v>
      </c>
    </row>
    <row r="51" spans="3:10">
      <c r="C51" t="s">
        <v>72</v>
      </c>
      <c r="I51" s="8">
        <f>I57*1000/(30.4*(I54*(1-I55)-I56))</f>
        <v>9.051051647496589</v>
      </c>
      <c r="J51" t="s">
        <v>73</v>
      </c>
    </row>
    <row r="52" spans="3:10">
      <c r="C52" t="s">
        <v>75</v>
      </c>
      <c r="I52" s="8">
        <f>I21*I53</f>
        <v>543.00626747933882</v>
      </c>
      <c r="J52" t="s">
        <v>76</v>
      </c>
    </row>
    <row r="53" spans="3:10">
      <c r="C53" t="s">
        <v>82</v>
      </c>
      <c r="I53" s="9">
        <f>Summary!H25</f>
        <v>0.35</v>
      </c>
    </row>
    <row r="54" spans="3:10">
      <c r="C54" t="s">
        <v>353</v>
      </c>
      <c r="I54" s="2">
        <f>Prices!G41</f>
        <v>68.017518133919609</v>
      </c>
      <c r="J54" s="4" t="s">
        <v>187</v>
      </c>
    </row>
    <row r="55" spans="3:10">
      <c r="C55" t="s">
        <v>354</v>
      </c>
      <c r="I55" s="66">
        <v>0.125</v>
      </c>
    </row>
    <row r="56" spans="3:10">
      <c r="C56" t="s">
        <v>185</v>
      </c>
      <c r="I56" s="3">
        <f>Summary!G47</f>
        <v>5</v>
      </c>
      <c r="J56" s="4" t="s">
        <v>187</v>
      </c>
    </row>
    <row r="57" spans="3:10">
      <c r="C57" t="s">
        <v>186</v>
      </c>
      <c r="I57" s="3">
        <f>Summary!F47</f>
        <v>15</v>
      </c>
      <c r="J57" s="4" t="s">
        <v>188</v>
      </c>
    </row>
    <row r="58" spans="3:10">
      <c r="C58" t="s">
        <v>191</v>
      </c>
      <c r="I58" s="3">
        <v>10</v>
      </c>
      <c r="J58" s="4" t="s">
        <v>61</v>
      </c>
    </row>
    <row r="59" spans="3:10">
      <c r="C59" t="s">
        <v>199</v>
      </c>
      <c r="I59" s="3">
        <v>20</v>
      </c>
      <c r="J59" s="4" t="s">
        <v>61</v>
      </c>
    </row>
    <row r="60" spans="3:10">
      <c r="C60" t="s">
        <v>192</v>
      </c>
      <c r="I60" s="3">
        <v>100</v>
      </c>
      <c r="J60" s="4" t="s">
        <v>58</v>
      </c>
    </row>
    <row r="61" spans="3:10">
      <c r="C61" t="s">
        <v>203</v>
      </c>
      <c r="I61" s="3">
        <f>'Sil Gu Oil hor ec'!C34</f>
        <v>14763.029951401848</v>
      </c>
      <c r="J61" t="s">
        <v>58</v>
      </c>
    </row>
    <row r="62" spans="3:10">
      <c r="C62" t="s">
        <v>204</v>
      </c>
      <c r="I62" s="3">
        <f>'Sil Gu Oil hor ec'!C35</f>
        <v>13142.149196542738</v>
      </c>
      <c r="J62" t="s">
        <v>58</v>
      </c>
    </row>
    <row r="63" spans="3:10">
      <c r="C63" t="s">
        <v>197</v>
      </c>
      <c r="I63" s="44">
        <f>'Sil Gu Oil hor ec'!C37</f>
        <v>2.037095237388272</v>
      </c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4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508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'Sil Gu Oil'!I28</f>
        <v>119.98812672176308</v>
      </c>
      <c r="F4" s="14" t="s">
        <v>96</v>
      </c>
      <c r="G4" s="15"/>
    </row>
    <row r="5" spans="1:17" ht="15.75">
      <c r="A5" s="14" t="s">
        <v>184</v>
      </c>
      <c r="B5" s="14"/>
      <c r="E5" s="16">
        <f>'Sil Gu Oil'!I29</f>
        <v>0.17777322088999534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'Sil Gu Oil'!I30</f>
        <v>6.6433441778221045</v>
      </c>
      <c r="F7" s="14" t="s">
        <v>96</v>
      </c>
    </row>
    <row r="8" spans="1:17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'Sil Gu Oil'!G23</f>
        <v>1.9998021120293847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Gu Oil'!I36</f>
        <v>10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'Sil Gu Oil'!I35</f>
        <v>10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'Sil Gu Oil'!I26</f>
        <v>1879.8634573002755</v>
      </c>
      <c r="F23" s="12" t="s">
        <v>195</v>
      </c>
      <c r="R23" s="24"/>
      <c r="U23" s="25"/>
    </row>
    <row r="24" spans="1:21">
      <c r="B24" s="12" t="s">
        <v>193</v>
      </c>
      <c r="E24" s="41">
        <f>'Sil Gu Oil'!I37*('Sil Gu Oil'!G23+'Sil Gu Oil'!G24)+'Sil Gu Oil'!I38</f>
        <v>139.99604224058771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9869.9487705207084</v>
      </c>
      <c r="D31" s="12" t="s">
        <v>58</v>
      </c>
      <c r="E31" s="84">
        <f>C31/E$23</f>
        <v>5.250354078745282</v>
      </c>
    </row>
    <row r="32" spans="1:21">
      <c r="A32" s="26">
        <v>0.05</v>
      </c>
      <c r="B32" s="12" t="s">
        <v>128</v>
      </c>
      <c r="C32" s="29">
        <f>NPV(A32,N$91:N$106)</f>
        <v>7078.981596211298</v>
      </c>
      <c r="D32" s="12" t="s">
        <v>58</v>
      </c>
      <c r="E32" s="84">
        <f t="shared" ref="E32:E36" si="0">C32/E$23</f>
        <v>3.7656892412694809</v>
      </c>
    </row>
    <row r="33" spans="1:19">
      <c r="A33" s="26">
        <v>0.1</v>
      </c>
      <c r="B33" s="12" t="s">
        <v>128</v>
      </c>
      <c r="C33" s="29">
        <f t="shared" ref="C33:C36" si="1">NPV(A33,N$91:N$106)</f>
        <v>5239.4466017649847</v>
      </c>
      <c r="D33" s="12" t="s">
        <v>58</v>
      </c>
      <c r="E33" s="84">
        <f t="shared" si="0"/>
        <v>2.7871421094005946</v>
      </c>
    </row>
    <row r="34" spans="1:19">
      <c r="A34" s="26">
        <v>0.125</v>
      </c>
      <c r="B34" s="12" t="s">
        <v>128</v>
      </c>
      <c r="C34" s="29">
        <f t="shared" si="1"/>
        <v>4549.8209637509462</v>
      </c>
      <c r="D34" s="12" t="s">
        <v>58</v>
      </c>
      <c r="E34" s="84">
        <f t="shared" si="0"/>
        <v>2.4202933176248189</v>
      </c>
      <c r="F34" s="14"/>
    </row>
    <row r="35" spans="1:19">
      <c r="A35" s="26">
        <v>0.15</v>
      </c>
      <c r="B35" s="12" t="s">
        <v>128</v>
      </c>
      <c r="C35" s="29">
        <f t="shared" si="1"/>
        <v>3971.2434808538505</v>
      </c>
      <c r="D35" s="12" t="s">
        <v>58</v>
      </c>
      <c r="E35" s="84">
        <f t="shared" si="0"/>
        <v>2.1125169838436375</v>
      </c>
      <c r="F35" s="14"/>
    </row>
    <row r="36" spans="1:19">
      <c r="A36" s="26">
        <v>0.2</v>
      </c>
      <c r="B36" s="12" t="s">
        <v>128</v>
      </c>
      <c r="C36" s="29">
        <f t="shared" si="1"/>
        <v>3063.7265325782114</v>
      </c>
      <c r="D36" s="12" t="s">
        <v>58</v>
      </c>
      <c r="E36" s="84">
        <f t="shared" si="0"/>
        <v>1.6297601406530422</v>
      </c>
      <c r="F36" s="14"/>
    </row>
    <row r="37" spans="1:19">
      <c r="A37" s="12" t="s">
        <v>197</v>
      </c>
      <c r="C37" s="25">
        <f>IRR(N91:N106, 1)</f>
        <v>0.87374726638510114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32">
        <f>D84</f>
        <v>232.71697177685951</v>
      </c>
      <c r="G40" s="14" t="s">
        <v>76</v>
      </c>
      <c r="H40" s="32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232.71697177685951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77" t="s">
        <v>351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119.98812672176308</v>
      </c>
      <c r="C49" s="18">
        <f t="shared" ref="C49:C63" si="2">B49*E$11</f>
        <v>119.98812672176308</v>
      </c>
      <c r="D49" s="35">
        <f t="shared" ref="D49:D63" si="3">C49*(1-$E$26-G$26*(K49-E$14)/K49)+B49*$K$26</f>
        <v>104.98961088154269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Prices!G41</f>
        <v>68.017518133919609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100.44593002429448</v>
      </c>
      <c r="C50" s="18">
        <f t="shared" si="2"/>
        <v>100.44593002429448</v>
      </c>
      <c r="D50" s="35">
        <f t="shared" si="3"/>
        <v>87.890188771257669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Prices!G42</f>
        <v>72.709965486630153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84.086527009805238</v>
      </c>
      <c r="C51" s="18">
        <f t="shared" si="2"/>
        <v>84.086527009805238</v>
      </c>
      <c r="D51" s="35">
        <f t="shared" si="3"/>
        <v>73.575711133579588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Prices!G43</f>
        <v>75.957901525876693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70.391543219925197</v>
      </c>
      <c r="C52" s="18">
        <f t="shared" si="2"/>
        <v>70.391543219925197</v>
      </c>
      <c r="D52" s="35">
        <f t="shared" si="3"/>
        <v>61.592600317434545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Prices!G44</f>
        <v>79.172689208586135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58.898337262551209</v>
      </c>
      <c r="C53" s="18">
        <f t="shared" si="2"/>
        <v>58.898337262551209</v>
      </c>
      <c r="D53" s="35">
        <f t="shared" si="3"/>
        <v>51.53604510473231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Prices!G45</f>
        <v>82.386061325876696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49.305697362374701</v>
      </c>
      <c r="C54" s="18">
        <f t="shared" si="2"/>
        <v>49.305697362374701</v>
      </c>
      <c r="D54" s="35">
        <f t="shared" si="3"/>
        <v>43.142485192077864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Prices!G46</f>
        <v>85.548352757170818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41.275389177001379</v>
      </c>
      <c r="C55" s="18">
        <f t="shared" si="2"/>
        <v>41.275389177001379</v>
      </c>
      <c r="D55" s="35">
        <f t="shared" si="3"/>
        <v>36.115965529876206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Prices!G47</f>
        <v>87.718328252384921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34.552959249147314</v>
      </c>
      <c r="C56" s="18">
        <f t="shared" si="2"/>
        <v>34.552959249147314</v>
      </c>
      <c r="D56" s="35">
        <f t="shared" si="3"/>
        <v>30.233839343003901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Prices!G48</f>
        <v>89.930553257503334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28.911311702843918</v>
      </c>
      <c r="C57" s="18">
        <f t="shared" si="2"/>
        <v>28.911311702843918</v>
      </c>
      <c r="D57" s="35">
        <f t="shared" si="3"/>
        <v>25.297397739988426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Prices!G49</f>
        <v>92.185372762724086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24.202591302625144</v>
      </c>
      <c r="C58" s="18">
        <f t="shared" si="2"/>
        <v>24.202591302625144</v>
      </c>
      <c r="D58" s="35">
        <f t="shared" si="3"/>
        <v>21.177267389797002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Prices!G50</f>
        <v>94.24313865804929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20.260769617875425</v>
      </c>
      <c r="C59" s="18">
        <f t="shared" si="2"/>
        <v>20.260769617875425</v>
      </c>
      <c r="D59" s="35">
        <f t="shared" si="3"/>
        <v>17.728173415640995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Prices!G51</f>
        <v>96.104759871280962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16.960943577314335</v>
      </c>
      <c r="C60" s="18">
        <f t="shared" si="2"/>
        <v>16.960943577314335</v>
      </c>
      <c r="D60" s="35">
        <f t="shared" si="3"/>
        <v>14.840825630150043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Prices!G52</f>
        <v>98.044613508777289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14.191639072134887</v>
      </c>
      <c r="C61" s="18">
        <f t="shared" si="2"/>
        <v>14.191639072134887</v>
      </c>
      <c r="D61" s="35">
        <f t="shared" si="3"/>
        <v>12.417684188118026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Prices!G53</f>
        <v>100.01326421902355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11.880278691867876</v>
      </c>
      <c r="C62" s="18">
        <f t="shared" si="2"/>
        <v>11.880278691867876</v>
      </c>
      <c r="D62" s="35">
        <f t="shared" si="3"/>
        <v>10.395243855384392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Prices!G54</f>
        <v>102.03628794347472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9.9453643852582605</v>
      </c>
      <c r="C63" s="18">
        <f t="shared" si="2"/>
        <v>9.9453643852582605</v>
      </c>
      <c r="D63" s="35">
        <f t="shared" si="3"/>
        <v>8.7021938371009782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Prices!G55</f>
        <v>104.06427214241491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1.9998021120293847</v>
      </c>
      <c r="C70" s="32">
        <f>D70</f>
        <v>40.12360106244472</v>
      </c>
      <c r="D70" s="39">
        <f>IF(B50=0,0,IF(E$6=1,(E$4)/(E$5/365)*LN((E$4)/B50)/1000,(E$4)^E$6*((E$4)^(1-E$6)-B50^(1-E$6))/((1-E$6)*E$5/365)/1000))</f>
        <v>40.12360106244472</v>
      </c>
      <c r="E70" s="15">
        <f t="shared" ref="E70:E84" si="9">C70*E$11</f>
        <v>40.12360106244472</v>
      </c>
      <c r="F70" s="39">
        <f t="shared" ref="F70:F84" si="10">D70*E$11</f>
        <v>40.12360106244472</v>
      </c>
      <c r="G70" s="15">
        <f t="shared" ref="G70:G84" si="11">IF(E70=0,0,(H92-I92)/H92*E70)+C70*$K$26</f>
        <v>35.10815092963913</v>
      </c>
      <c r="H70" s="15">
        <f>G70</f>
        <v>35.10815092963913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1.9998021120293847</v>
      </c>
      <c r="C71" s="15">
        <f t="shared" ref="C71:C84" si="14">D71-D70</f>
        <v>33.588760277812014</v>
      </c>
      <c r="D71" s="39">
        <f t="shared" ref="D71:D83" si="15">IF(B51=0,D70,IF(E$6=1,(E$4)/(E$5/365)*LN((E$4)/B51)/1000,(E$4)^E$6*((E$4)^(1-E$6)-B51^(1-E$6))/((1-E$6)*E$5/365)/1000))</f>
        <v>73.712361340256734</v>
      </c>
      <c r="E71" s="15">
        <f t="shared" si="9"/>
        <v>33.588760277812014</v>
      </c>
      <c r="F71" s="39">
        <f t="shared" si="10"/>
        <v>73.712361340256734</v>
      </c>
      <c r="G71" s="15">
        <f t="shared" si="11"/>
        <v>29.390165243085509</v>
      </c>
      <c r="H71" s="15">
        <f t="shared" ref="H71:H84" si="16">G71+H70</f>
        <v>64.498316172724643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1.9998021120293847</v>
      </c>
      <c r="C72" s="15">
        <f t="shared" si="14"/>
        <v>28.118234334064013</v>
      </c>
      <c r="D72" s="39">
        <f t="shared" si="15"/>
        <v>101.83059567432075</v>
      </c>
      <c r="E72" s="15">
        <f t="shared" si="9"/>
        <v>28.118234334064013</v>
      </c>
      <c r="F72" s="39">
        <f t="shared" si="10"/>
        <v>101.83059567432075</v>
      </c>
      <c r="G72" s="15">
        <f t="shared" si="11"/>
        <v>24.60345504230601</v>
      </c>
      <c r="H72" s="15">
        <f t="shared" si="16"/>
        <v>89.101771215030652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1.9998021120293847</v>
      </c>
      <c r="C73" s="15">
        <f t="shared" si="14"/>
        <v>23.597593346398071</v>
      </c>
      <c r="D73" s="39">
        <f t="shared" si="15"/>
        <v>125.42818902071882</v>
      </c>
      <c r="E73" s="15">
        <f t="shared" si="9"/>
        <v>23.597593346398071</v>
      </c>
      <c r="F73" s="39">
        <f t="shared" si="10"/>
        <v>125.42818902071882</v>
      </c>
      <c r="G73" s="15">
        <f t="shared" si="11"/>
        <v>20.647894178098309</v>
      </c>
      <c r="H73" s="15">
        <f t="shared" si="16"/>
        <v>109.74966539312896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1.9998021120293847</v>
      </c>
      <c r="C74" s="15">
        <f t="shared" si="14"/>
        <v>19.695393637104686</v>
      </c>
      <c r="D74" s="39">
        <f t="shared" si="15"/>
        <v>145.1235826578235</v>
      </c>
      <c r="E74" s="15">
        <f t="shared" si="9"/>
        <v>19.695393637104686</v>
      </c>
      <c r="F74" s="39">
        <f t="shared" si="10"/>
        <v>145.1235826578235</v>
      </c>
      <c r="G74" s="15">
        <f t="shared" si="11"/>
        <v>17.233469432466599</v>
      </c>
      <c r="H74" s="15">
        <f t="shared" si="16"/>
        <v>126.98313482559556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1.9998021120293847</v>
      </c>
      <c r="C75" s="15">
        <f t="shared" si="14"/>
        <v>16.487649112657863</v>
      </c>
      <c r="D75" s="39">
        <f t="shared" si="15"/>
        <v>161.61123177048137</v>
      </c>
      <c r="E75" s="15">
        <f t="shared" si="9"/>
        <v>16.487649112657863</v>
      </c>
      <c r="F75" s="39">
        <f t="shared" si="10"/>
        <v>161.61123177048137</v>
      </c>
      <c r="G75" s="15">
        <f t="shared" si="11"/>
        <v>14.42669297357563</v>
      </c>
      <c r="H75" s="15">
        <f t="shared" si="16"/>
        <v>141.40982779917118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1.9998021120293847</v>
      </c>
      <c r="C76" s="15">
        <f t="shared" si="14"/>
        <v>13.802342734089649</v>
      </c>
      <c r="D76" s="39">
        <f t="shared" si="15"/>
        <v>175.41357450457102</v>
      </c>
      <c r="E76" s="15">
        <f t="shared" si="9"/>
        <v>13.802342734089649</v>
      </c>
      <c r="F76" s="39">
        <f t="shared" si="10"/>
        <v>175.41357450457102</v>
      </c>
      <c r="G76" s="15">
        <f t="shared" si="11"/>
        <v>12.077049892328445</v>
      </c>
      <c r="H76" s="15">
        <f t="shared" si="16"/>
        <v>153.48687769149961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1.9998021120293847</v>
      </c>
      <c r="C77" s="15">
        <f t="shared" si="14"/>
        <v>11.583304527485353</v>
      </c>
      <c r="D77" s="39">
        <f t="shared" si="15"/>
        <v>186.99687903205637</v>
      </c>
      <c r="E77" s="15">
        <f t="shared" si="9"/>
        <v>11.583304527485353</v>
      </c>
      <c r="F77" s="39">
        <f t="shared" si="10"/>
        <v>186.99687903205637</v>
      </c>
      <c r="G77" s="15">
        <f t="shared" si="11"/>
        <v>10.135391461549684</v>
      </c>
      <c r="H77" s="15">
        <f t="shared" si="16"/>
        <v>163.6222691530493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1.9998021120293847</v>
      </c>
      <c r="C78" s="15">
        <f t="shared" si="14"/>
        <v>9.6678393825320086</v>
      </c>
      <c r="D78" s="39">
        <f t="shared" si="15"/>
        <v>196.66471841458838</v>
      </c>
      <c r="E78" s="15">
        <f t="shared" si="9"/>
        <v>9.6678393825320086</v>
      </c>
      <c r="F78" s="39">
        <f t="shared" si="10"/>
        <v>196.66471841458838</v>
      </c>
      <c r="G78" s="15">
        <f t="shared" si="11"/>
        <v>8.4593594597155075</v>
      </c>
      <c r="H78" s="15">
        <f t="shared" si="16"/>
        <v>172.0816286127648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1.9998021120293847</v>
      </c>
      <c r="C79" s="15">
        <f t="shared" si="14"/>
        <v>8.0932600969407815</v>
      </c>
      <c r="D79" s="39">
        <f t="shared" si="15"/>
        <v>204.75797851152916</v>
      </c>
      <c r="E79" s="15">
        <f t="shared" si="9"/>
        <v>8.0932600969407815</v>
      </c>
      <c r="F79" s="39">
        <f t="shared" si="10"/>
        <v>204.75797851152916</v>
      </c>
      <c r="G79" s="15">
        <f t="shared" si="11"/>
        <v>7.0816025848231838</v>
      </c>
      <c r="H79" s="15">
        <f t="shared" si="16"/>
        <v>179.16323119758798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1.9998021120293847</v>
      </c>
      <c r="C80" s="15">
        <f t="shared" si="14"/>
        <v>6.7751290029789857</v>
      </c>
      <c r="D80" s="39">
        <f t="shared" si="15"/>
        <v>211.53310751450815</v>
      </c>
      <c r="E80" s="15">
        <f t="shared" si="9"/>
        <v>6.7751290029789857</v>
      </c>
      <c r="F80" s="39">
        <f t="shared" si="10"/>
        <v>211.53310751450815</v>
      </c>
      <c r="G80" s="15">
        <f t="shared" si="11"/>
        <v>5.9282378776066116</v>
      </c>
      <c r="H80" s="15">
        <f t="shared" si="16"/>
        <v>185.0914690751946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1.9998021120293847</v>
      </c>
      <c r="C81" s="15">
        <f t="shared" si="14"/>
        <v>5.6858740553279006</v>
      </c>
      <c r="D81" s="39">
        <f t="shared" si="15"/>
        <v>217.21898156983605</v>
      </c>
      <c r="E81" s="15">
        <f t="shared" si="9"/>
        <v>5.6858740553279006</v>
      </c>
      <c r="F81" s="39">
        <f t="shared" si="10"/>
        <v>217.21898156983605</v>
      </c>
      <c r="G81" s="15">
        <f t="shared" si="11"/>
        <v>4.975139798411913</v>
      </c>
      <c r="H81" s="15">
        <f t="shared" si="16"/>
        <v>190.0666088736065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1.9998021120293847</v>
      </c>
      <c r="C82" s="15">
        <f t="shared" si="14"/>
        <v>4.7456334231548851</v>
      </c>
      <c r="D82" s="39">
        <f t="shared" si="15"/>
        <v>221.96461499299093</v>
      </c>
      <c r="E82" s="15">
        <f t="shared" si="9"/>
        <v>4.7456334231548851</v>
      </c>
      <c r="F82" s="39">
        <f t="shared" si="10"/>
        <v>221.96461499299093</v>
      </c>
      <c r="G82" s="15">
        <f t="shared" si="11"/>
        <v>4.1524292452605245</v>
      </c>
      <c r="H82" s="15">
        <f t="shared" si="16"/>
        <v>194.21903811886702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1.9998021120293847</v>
      </c>
      <c r="C83" s="15">
        <f t="shared" si="14"/>
        <v>3.9727227665494524</v>
      </c>
      <c r="D83" s="39">
        <f t="shared" si="15"/>
        <v>225.93733775954038</v>
      </c>
      <c r="E83" s="15">
        <f t="shared" si="9"/>
        <v>3.9727227665494524</v>
      </c>
      <c r="F83" s="39">
        <f t="shared" si="10"/>
        <v>225.93733775954038</v>
      </c>
      <c r="G83" s="15">
        <f t="shared" si="11"/>
        <v>3.4761324207307709</v>
      </c>
      <c r="H83" s="15">
        <f t="shared" si="16"/>
        <v>197.6951705395978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1.9998021120293847</v>
      </c>
      <c r="C84" s="15">
        <f t="shared" si="14"/>
        <v>6.7796340173191254</v>
      </c>
      <c r="D84" s="39">
        <f>IF(B63=0,D83,IF(E$6=1,(E$4)/(E$5/365)*LN((E$4)/E7)/1000,(E$4)^E$6*((E$4)^(1-E$6)-E7^(1-E$6))/((1-E$6)*E$5/365)/1000))</f>
        <v>232.71697177685951</v>
      </c>
      <c r="E84" s="15">
        <f t="shared" si="9"/>
        <v>6.7796340173191254</v>
      </c>
      <c r="F84" s="39">
        <f t="shared" si="10"/>
        <v>232.71697177685951</v>
      </c>
      <c r="G84" s="18">
        <f t="shared" si="11"/>
        <v>5.9321797651542347</v>
      </c>
      <c r="H84" s="15">
        <f t="shared" si="16"/>
        <v>203.62735030475204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1879.8634573002755</v>
      </c>
      <c r="N91" s="41">
        <f t="shared" ref="N91:N106" si="17">L91-M91</f>
        <v>-1879.8634573002755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2729.1077628629901</v>
      </c>
      <c r="I92" s="41">
        <f t="shared" ref="I92:I106" si="21">E70*K49*E$26+E70*(K49-E$14)*G$26+K70*L49*E$26+K70*(L49-E$15)*G$26+D92*M49*(E$26+G$26)/1000</f>
        <v>341.13847035787376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521.2360106244472</v>
      </c>
      <c r="L92" s="41">
        <f t="shared" ref="L92:L106" si="24">H92+J92-I92-K92</f>
        <v>1866.733281880669</v>
      </c>
      <c r="M92" s="41">
        <f t="shared" ref="M92:M104" si="25">IF(B71&lt;B70,E$24*(1+E$21/365)^(A49-A$49),0)</f>
        <v>0</v>
      </c>
      <c r="N92" s="41">
        <f t="shared" si="17"/>
        <v>1866.733281880669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2442.2376005384053</v>
      </c>
      <c r="I93" s="41">
        <f t="shared" si="21"/>
        <v>305.27970006730067</v>
      </c>
      <c r="J93" s="41">
        <f t="shared" si="22"/>
        <v>0</v>
      </c>
      <c r="K93" s="41">
        <f t="shared" si="23"/>
        <v>465.00535483368253</v>
      </c>
      <c r="L93" s="41">
        <f t="shared" si="24"/>
        <v>1671.952545637422</v>
      </c>
      <c r="M93" s="41">
        <f t="shared" si="25"/>
        <v>0</v>
      </c>
      <c r="N93" s="41">
        <f t="shared" si="17"/>
        <v>1671.952545637422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2135.8020746283592</v>
      </c>
      <c r="I94" s="41">
        <f t="shared" si="21"/>
        <v>266.97525932854489</v>
      </c>
      <c r="J94" s="41">
        <f t="shared" si="22"/>
        <v>0</v>
      </c>
      <c r="K94" s="41">
        <f t="shared" si="23"/>
        <v>417.39011001160202</v>
      </c>
      <c r="L94" s="41">
        <f t="shared" si="24"/>
        <v>1451.4367052882124</v>
      </c>
      <c r="M94" s="41">
        <f t="shared" si="25"/>
        <v>0</v>
      </c>
      <c r="N94" s="41">
        <f t="shared" si="17"/>
        <v>1451.4367052882124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1868.2849240849746</v>
      </c>
      <c r="I95" s="41">
        <f t="shared" si="21"/>
        <v>233.53561551062182</v>
      </c>
      <c r="J95" s="41">
        <f t="shared" si="22"/>
        <v>0</v>
      </c>
      <c r="K95" s="41">
        <f t="shared" si="23"/>
        <v>377.76450839944403</v>
      </c>
      <c r="L95" s="41">
        <f t="shared" si="24"/>
        <v>1256.9848001749087</v>
      </c>
      <c r="M95" s="41">
        <f t="shared" si="25"/>
        <v>0</v>
      </c>
      <c r="N95" s="41">
        <f t="shared" si="17"/>
        <v>1256.9848001749087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1622.6259080237883</v>
      </c>
      <c r="I96" s="41">
        <f t="shared" si="21"/>
        <v>202.82823850297353</v>
      </c>
      <c r="J96" s="41">
        <f t="shared" si="22"/>
        <v>0</v>
      </c>
      <c r="K96" s="41">
        <f t="shared" si="23"/>
        <v>343.09974791765376</v>
      </c>
      <c r="L96" s="41">
        <f t="shared" si="24"/>
        <v>1076.6979216031609</v>
      </c>
      <c r="M96" s="41">
        <f t="shared" si="25"/>
        <v>0</v>
      </c>
      <c r="N96" s="41">
        <f t="shared" si="17"/>
        <v>1076.6979216031609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1410.4912224261093</v>
      </c>
      <c r="I97" s="41">
        <f t="shared" si="21"/>
        <v>176.31140280326366</v>
      </c>
      <c r="J97" s="41">
        <f t="shared" si="22"/>
        <v>0</v>
      </c>
      <c r="K97" s="41">
        <f t="shared" si="23"/>
        <v>314.54372985716219</v>
      </c>
      <c r="L97" s="41">
        <f t="shared" si="24"/>
        <v>919.63608976568344</v>
      </c>
      <c r="M97" s="41">
        <f t="shared" si="25"/>
        <v>0</v>
      </c>
      <c r="N97" s="41">
        <f t="shared" si="17"/>
        <v>919.63608976568344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1210.7184306007957</v>
      </c>
      <c r="I98" s="41">
        <f t="shared" si="21"/>
        <v>151.33980382509947</v>
      </c>
      <c r="J98" s="41">
        <f t="shared" si="22"/>
        <v>0</v>
      </c>
      <c r="K98" s="41">
        <f t="shared" si="23"/>
        <v>290.59205244871544</v>
      </c>
      <c r="L98" s="41">
        <f t="shared" si="24"/>
        <v>768.78657432698094</v>
      </c>
      <c r="M98" s="41">
        <f t="shared" si="25"/>
        <v>0</v>
      </c>
      <c r="N98" s="41">
        <f t="shared" si="17"/>
        <v>768.78657432698094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1041.6929847069011</v>
      </c>
      <c r="I99" s="41">
        <f t="shared" si="21"/>
        <v>130.21162308836264</v>
      </c>
      <c r="J99" s="41">
        <f t="shared" si="22"/>
        <v>0</v>
      </c>
      <c r="K99" s="41">
        <f t="shared" si="23"/>
        <v>270.91273670483548</v>
      </c>
      <c r="L99" s="41">
        <f t="shared" si="24"/>
        <v>640.56862491370293</v>
      </c>
      <c r="M99" s="41">
        <f t="shared" si="25"/>
        <v>0</v>
      </c>
      <c r="N99" s="41">
        <f t="shared" si="17"/>
        <v>640.56862491370293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891.23337728885747</v>
      </c>
      <c r="I100" s="41">
        <f t="shared" si="21"/>
        <v>111.40417216110718</v>
      </c>
      <c r="J100" s="41">
        <f t="shared" si="22"/>
        <v>0</v>
      </c>
      <c r="K100" s="41">
        <f t="shared" si="23"/>
        <v>253.90082144656677</v>
      </c>
      <c r="L100" s="41">
        <f t="shared" si="24"/>
        <v>525.9283836811835</v>
      </c>
      <c r="M100" s="41">
        <f t="shared" si="25"/>
        <v>0</v>
      </c>
      <c r="N100" s="41">
        <f t="shared" si="17"/>
        <v>525.9283836811835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762.73423351164752</v>
      </c>
      <c r="I101" s="41">
        <f t="shared" si="21"/>
        <v>95.34177918895594</v>
      </c>
      <c r="J101" s="41">
        <f t="shared" si="22"/>
        <v>0</v>
      </c>
      <c r="K101" s="41">
        <f t="shared" si="23"/>
        <v>240.15911587525144</v>
      </c>
      <c r="L101" s="41">
        <f t="shared" si="24"/>
        <v>427.23333844744013</v>
      </c>
      <c r="M101" s="41">
        <f t="shared" si="25"/>
        <v>0</v>
      </c>
      <c r="N101" s="41">
        <f t="shared" si="17"/>
        <v>427.23333844744013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651.1221459282466</v>
      </c>
      <c r="I102" s="41">
        <f t="shared" si="21"/>
        <v>81.390268241030824</v>
      </c>
      <c r="J102" s="41">
        <f t="shared" si="22"/>
        <v>0</v>
      </c>
      <c r="K102" s="41">
        <f t="shared" si="23"/>
        <v>228.89261012131334</v>
      </c>
      <c r="L102" s="41">
        <f t="shared" si="24"/>
        <v>340.83926756590239</v>
      </c>
      <c r="M102" s="41">
        <f t="shared" si="25"/>
        <v>0</v>
      </c>
      <c r="N102" s="41">
        <f t="shared" si="17"/>
        <v>340.83926756590239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557.4693242142082</v>
      </c>
      <c r="I103" s="41">
        <f t="shared" si="21"/>
        <v>69.683665526776025</v>
      </c>
      <c r="J103" s="41">
        <f t="shared" si="22"/>
        <v>0</v>
      </c>
      <c r="K103" s="41">
        <f t="shared" si="23"/>
        <v>219.92547649828035</v>
      </c>
      <c r="L103" s="41">
        <f t="shared" si="24"/>
        <v>267.86018218915183</v>
      </c>
      <c r="M103" s="41">
        <f t="shared" si="25"/>
        <v>0</v>
      </c>
      <c r="N103" s="41">
        <f t="shared" si="17"/>
        <v>267.86018218915183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474.62628943661872</v>
      </c>
      <c r="I104" s="41">
        <f t="shared" si="21"/>
        <v>59.32828617957734</v>
      </c>
      <c r="J104" s="41">
        <f t="shared" si="22"/>
        <v>0</v>
      </c>
      <c r="K104" s="41">
        <f t="shared" si="23"/>
        <v>212.40969110509533</v>
      </c>
      <c r="L104" s="41">
        <f t="shared" si="24"/>
        <v>202.88831215194605</v>
      </c>
      <c r="M104" s="41">
        <f t="shared" si="25"/>
        <v>0</v>
      </c>
      <c r="N104" s="41">
        <f t="shared" si="17"/>
        <v>202.88831215194605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405.36188412723743</v>
      </c>
      <c r="I105" s="41">
        <f t="shared" si="21"/>
        <v>50.670235515904679</v>
      </c>
      <c r="J105" s="41">
        <f t="shared" si="22"/>
        <v>0</v>
      </c>
      <c r="K105" s="41">
        <f t="shared" si="23"/>
        <v>206.6578339368134</v>
      </c>
      <c r="L105" s="41">
        <f t="shared" si="24"/>
        <v>148.03381467451936</v>
      </c>
      <c r="M105" s="41">
        <f>IF(B84&lt;B83,E$24*(1+E$21/365)^(A62-A$49),0)</f>
        <v>0</v>
      </c>
      <c r="N105" s="41">
        <f t="shared" si="17"/>
        <v>148.03381467451936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705.51767940427112</v>
      </c>
      <c r="I106" s="41">
        <f t="shared" si="21"/>
        <v>88.18970992553389</v>
      </c>
      <c r="J106" s="41">
        <f t="shared" si="22"/>
        <v>0</v>
      </c>
      <c r="K106" s="41">
        <f t="shared" si="23"/>
        <v>247.83361708364109</v>
      </c>
      <c r="L106" s="41">
        <f t="shared" si="24"/>
        <v>369.49435239509614</v>
      </c>
      <c r="M106" s="41">
        <f>IF(B85&lt;B84,E$24*(1+E$21/365)^(A63-A$49),0)</f>
        <v>185.2619668749968</v>
      </c>
      <c r="N106" s="41">
        <f t="shared" si="17"/>
        <v>184.23238552009934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8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352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'Sil Gu Oil'!I49</f>
        <v>299.97031680440773</v>
      </c>
      <c r="F4" s="14" t="s">
        <v>96</v>
      </c>
      <c r="G4" s="15"/>
    </row>
    <row r="5" spans="1:17" ht="15.75">
      <c r="A5" s="14" t="s">
        <v>184</v>
      </c>
      <c r="B5" s="14"/>
      <c r="E5" s="16">
        <f>'Sil Gu Oil'!I50</f>
        <v>0.19555120841457485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78">
        <f>'Sil Gu Oil'!I51</f>
        <v>9.051051647496589</v>
      </c>
      <c r="F7" s="14" t="s">
        <v>96</v>
      </c>
    </row>
    <row r="8" spans="1:17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'Sil Gu Oil'!G44</f>
        <v>1.9998021120293847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Gu Oil'!I57</f>
        <v>15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'Sil Gu Oil'!I56</f>
        <v>5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'Sil Gu Oil'!I47</f>
        <v>2419.8100275482093</v>
      </c>
      <c r="F23" s="12" t="s">
        <v>195</v>
      </c>
      <c r="R23" s="24"/>
      <c r="U23" s="25"/>
    </row>
    <row r="24" spans="1:21">
      <c r="B24" s="12" t="s">
        <v>193</v>
      </c>
      <c r="E24" s="41">
        <f>'Sil Gu Oil'!I58*'Sil Gu Oil'!G45+'Sil Gu Oil'!I59*'Sil Gu Oil'!G44+'Sil Gu Oil'!I60</f>
        <v>159.99406336088154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29717.169620057135</v>
      </c>
      <c r="D31" s="12" t="s">
        <v>58</v>
      </c>
      <c r="E31" s="84">
        <f>C31/E$23</f>
        <v>12.280786211208097</v>
      </c>
    </row>
    <row r="32" spans="1:21">
      <c r="A32" s="26">
        <v>0.05</v>
      </c>
      <c r="B32" s="12" t="s">
        <v>128</v>
      </c>
      <c r="C32" s="29">
        <f>NPV(A32,N$91:N$106)</f>
        <v>21845.717472001081</v>
      </c>
      <c r="D32" s="12" t="s">
        <v>58</v>
      </c>
      <c r="E32" s="84">
        <f t="shared" ref="E32:E36" si="0">C32/E$23</f>
        <v>9.0278646766893171</v>
      </c>
    </row>
    <row r="33" spans="1:19">
      <c r="A33" s="26">
        <v>0.1</v>
      </c>
      <c r="B33" s="12" t="s">
        <v>128</v>
      </c>
      <c r="C33" s="29">
        <f t="shared" ref="C33:C36" si="1">NPV(A33,N$91:N$106)</f>
        <v>16692.860738283394</v>
      </c>
      <c r="D33" s="12" t="s">
        <v>58</v>
      </c>
      <c r="E33" s="84">
        <f t="shared" si="0"/>
        <v>6.8984178709255417</v>
      </c>
    </row>
    <row r="34" spans="1:19">
      <c r="A34" s="26">
        <v>0.125</v>
      </c>
      <c r="B34" s="12" t="s">
        <v>128</v>
      </c>
      <c r="C34" s="29">
        <f t="shared" si="1"/>
        <v>14763.029951401848</v>
      </c>
      <c r="D34" s="12" t="s">
        <v>58</v>
      </c>
      <c r="E34" s="84">
        <f t="shared" si="0"/>
        <v>6.1009045269392441</v>
      </c>
      <c r="F34" s="14"/>
    </row>
    <row r="35" spans="1:19">
      <c r="A35" s="26">
        <v>0.15</v>
      </c>
      <c r="B35" s="12" t="s">
        <v>128</v>
      </c>
      <c r="C35" s="29">
        <f t="shared" si="1"/>
        <v>13142.149196542738</v>
      </c>
      <c r="D35" s="12" t="s">
        <v>58</v>
      </c>
      <c r="E35" s="84">
        <f t="shared" si="0"/>
        <v>5.4310665080839327</v>
      </c>
      <c r="F35" s="14"/>
    </row>
    <row r="36" spans="1:19">
      <c r="A36" s="26">
        <v>0.2</v>
      </c>
      <c r="B36" s="12" t="s">
        <v>128</v>
      </c>
      <c r="C36" s="29">
        <f t="shared" si="1"/>
        <v>10590.583231840315</v>
      </c>
      <c r="D36" s="12" t="s">
        <v>58</v>
      </c>
      <c r="E36" s="84">
        <f t="shared" si="0"/>
        <v>4.3766176316621292</v>
      </c>
      <c r="F36" s="14"/>
    </row>
    <row r="37" spans="1:19">
      <c r="A37" s="12" t="s">
        <v>197</v>
      </c>
      <c r="C37" s="25">
        <f>IRR(N91:N106, 1)</f>
        <v>2.037095237388272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32">
        <f>D84</f>
        <v>543.00626747933882</v>
      </c>
      <c r="G40" s="14" t="s">
        <v>76</v>
      </c>
      <c r="H40" s="32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543.00626747933882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77" t="s">
        <v>351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299.97031680440773</v>
      </c>
      <c r="C49" s="18">
        <f t="shared" ref="C49:C63" si="2">B49*E$11</f>
        <v>299.97031680440773</v>
      </c>
      <c r="D49" s="35">
        <f t="shared" ref="D49:D63" si="3">C49*(1-$E$26-G$26*(K49-E$14)/K49)+B49*$K$26</f>
        <v>262.47402720385674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Prices!G41</f>
        <v>68.017518133919609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2" si="6">IF(B49&lt;=E$7,0,IF(IF(E$6=0,E$4*EXP(-E$5*(A50-A$49)/365),(E$4)/(1+(E$6*E$5*(A50-A$49)/365))^(1/E$6))&lt;=(E$7),E$7,IF(E$6=0,E$4*EXP(-E$5*(A50-A$49)/365),(E$4)/(1+(E$6*E$5*(A50-A$49)/365))^(1/E$6))))</f>
        <v>246.68995799119452</v>
      </c>
      <c r="C50" s="18">
        <f t="shared" si="2"/>
        <v>246.68995799119452</v>
      </c>
      <c r="D50" s="35">
        <f t="shared" si="3"/>
        <v>215.85371324229521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Prices!G42</f>
        <v>72.709965486630153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202.87319099435342</v>
      </c>
      <c r="C51" s="18">
        <f t="shared" si="2"/>
        <v>202.87319099435342</v>
      </c>
      <c r="D51" s="35">
        <f t="shared" si="3"/>
        <v>177.51404212005923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Prices!G43</f>
        <v>75.957901525876693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166.83910427233729</v>
      </c>
      <c r="C52" s="18">
        <f t="shared" si="2"/>
        <v>166.83910427233729</v>
      </c>
      <c r="D52" s="35">
        <f t="shared" si="3"/>
        <v>145.98421623829512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Prices!G44</f>
        <v>79.172689208586135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137.13185872337831</v>
      </c>
      <c r="C53" s="18">
        <f t="shared" si="2"/>
        <v>137.13185872337831</v>
      </c>
      <c r="D53" s="35">
        <f t="shared" si="3"/>
        <v>119.99037638295603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Prices!G45</f>
        <v>82.386061325876696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112.77466660070391</v>
      </c>
      <c r="C54" s="18">
        <f t="shared" si="2"/>
        <v>112.77466660070391</v>
      </c>
      <c r="D54" s="35">
        <f t="shared" si="3"/>
        <v>98.677833275615924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Prices!G46</f>
        <v>85.548352757170818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92.74376899211191</v>
      </c>
      <c r="C55" s="18">
        <f t="shared" si="2"/>
        <v>92.74376899211191</v>
      </c>
      <c r="D55" s="35">
        <f t="shared" si="3"/>
        <v>81.150797868097925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Prices!G47</f>
        <v>87.718328252384921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76.270734785825837</v>
      </c>
      <c r="C56" s="18">
        <f t="shared" si="2"/>
        <v>76.270734785825837</v>
      </c>
      <c r="D56" s="35">
        <f t="shared" si="3"/>
        <v>66.736892937597602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Prices!G48</f>
        <v>89.930553257503334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62.690025057346823</v>
      </c>
      <c r="C57" s="18">
        <f t="shared" si="2"/>
        <v>62.690025057346823</v>
      </c>
      <c r="D57" s="35">
        <f t="shared" si="3"/>
        <v>54.853771925178471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Prices!G49</f>
        <v>92.185372762724086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51.555099893259083</v>
      </c>
      <c r="C58" s="18">
        <f t="shared" si="2"/>
        <v>51.555099893259083</v>
      </c>
      <c r="D58" s="35">
        <f t="shared" si="3"/>
        <v>45.110712406601699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Prices!G50</f>
        <v>94.24313865804929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42.397946444789838</v>
      </c>
      <c r="C59" s="18">
        <f t="shared" si="2"/>
        <v>42.397946444789838</v>
      </c>
      <c r="D59" s="35">
        <f t="shared" si="3"/>
        <v>37.098203139191106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Prices!G51</f>
        <v>96.104759871280962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34.867275331771879</v>
      </c>
      <c r="C60" s="18">
        <f t="shared" si="2"/>
        <v>34.867275331771879</v>
      </c>
      <c r="D60" s="35">
        <f t="shared" si="3"/>
        <v>30.508865915300394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Prices!G52</f>
        <v>98.044613508777289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28.658834484395253</v>
      </c>
      <c r="C61" s="18">
        <f t="shared" si="2"/>
        <v>28.658834484395253</v>
      </c>
      <c r="D61" s="35">
        <f t="shared" si="3"/>
        <v>25.076480173845848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Prices!G53</f>
        <v>100.01326421902355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23.568487543525432</v>
      </c>
      <c r="C62" s="18">
        <f t="shared" si="2"/>
        <v>23.568487543525432</v>
      </c>
      <c r="D62" s="35">
        <f t="shared" si="3"/>
        <v>20.622426600584753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Prices!G54</f>
        <v>102.03628794347472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>IF(B62&lt;=E$7,0,IF(IF(E$6=0,E$4*EXP(-E$5*(A63-A$49)/365),(E$4)/(1+(E$6*E$5*(A63-A$49)/365))^(1/E$6))&lt;=(E$7),E$7,IF(E$6=0,E$4*EXP(-E$5*(A63-A$49)/365),(E$4)/(1+(E$6*E$5*(A63-A$49)/365))^(1/E$6))))</f>
        <v>19.38228176696331</v>
      </c>
      <c r="C63" s="18">
        <f t="shared" si="2"/>
        <v>19.38228176696331</v>
      </c>
      <c r="D63" s="35">
        <f t="shared" si="3"/>
        <v>16.959496546092897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Prices!G55</f>
        <v>104.06427214241491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1.9998021120293847</v>
      </c>
      <c r="C70" s="32">
        <f>D70</f>
        <v>99.448789524193856</v>
      </c>
      <c r="D70" s="39">
        <f>IF(B50=0,0,IF(E$6=1,(E$4)/(E$5/365)*LN((E$4)/B50)/1000,(E$4)^E$6*((E$4)^(1-E$6)-B50^(1-E$6))/((1-E$6)*E$5/365)/1000))</f>
        <v>99.448789524193856</v>
      </c>
      <c r="E70" s="15">
        <f t="shared" ref="E70:E84" si="9">C70*E$11</f>
        <v>99.448789524193856</v>
      </c>
      <c r="F70" s="39">
        <f t="shared" ref="F70:F84" si="10">D70*E$11</f>
        <v>99.448789524193856</v>
      </c>
      <c r="G70" s="15">
        <f t="shared" ref="G70:G84" si="11">IF(E70=0,0,(H92-I92)/H92*E70)+C70*$K$26</f>
        <v>87.017690833669619</v>
      </c>
      <c r="H70" s="15">
        <f>G70</f>
        <v>87.017690833669619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1.9998021120293847</v>
      </c>
      <c r="C71" s="15">
        <f t="shared" ref="C71:C84" si="14">D71-D70</f>
        <v>81.784817815807472</v>
      </c>
      <c r="D71" s="39">
        <f t="shared" ref="D71:D83" si="15">IF(B51=0,D70,IF(E$6=1,(E$4)/(E$5/365)*LN((E$4)/B51)/1000,(E$4)^E$6*((E$4)^(1-E$6)-B51^(1-E$6))/((1-E$6)*E$5/365)/1000))</f>
        <v>181.23360734000133</v>
      </c>
      <c r="E71" s="15">
        <f t="shared" si="9"/>
        <v>81.784817815807472</v>
      </c>
      <c r="F71" s="39">
        <f t="shared" si="10"/>
        <v>181.23360734000133</v>
      </c>
      <c r="G71" s="15">
        <f t="shared" si="11"/>
        <v>71.561715588831532</v>
      </c>
      <c r="H71" s="15">
        <f t="shared" ref="H71:H84" si="16">G71+H70</f>
        <v>158.57940642250117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1.9998021120293847</v>
      </c>
      <c r="C72" s="15">
        <f t="shared" si="14"/>
        <v>67.258299041815633</v>
      </c>
      <c r="D72" s="39">
        <f t="shared" si="15"/>
        <v>248.49190638181696</v>
      </c>
      <c r="E72" s="15">
        <f t="shared" si="9"/>
        <v>67.258299041815633</v>
      </c>
      <c r="F72" s="39">
        <f t="shared" si="10"/>
        <v>248.49190638181696</v>
      </c>
      <c r="G72" s="15">
        <f t="shared" si="11"/>
        <v>58.851011661588679</v>
      </c>
      <c r="H72" s="15">
        <f t="shared" si="16"/>
        <v>217.43041808408984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1.9998021120293847</v>
      </c>
      <c r="C73" s="15">
        <f t="shared" si="14"/>
        <v>55.44913126991375</v>
      </c>
      <c r="D73" s="39">
        <f t="shared" si="15"/>
        <v>303.94103765173071</v>
      </c>
      <c r="E73" s="15">
        <f t="shared" si="9"/>
        <v>55.44913126991375</v>
      </c>
      <c r="F73" s="39">
        <f t="shared" si="10"/>
        <v>303.94103765173071</v>
      </c>
      <c r="G73" s="15">
        <f t="shared" si="11"/>
        <v>48.517989861174527</v>
      </c>
      <c r="H73" s="15">
        <f t="shared" si="16"/>
        <v>265.94840794526436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1.9998021120293847</v>
      </c>
      <c r="C74" s="15">
        <f t="shared" si="14"/>
        <v>45.463156156663956</v>
      </c>
      <c r="D74" s="39">
        <f t="shared" si="15"/>
        <v>349.40419380839467</v>
      </c>
      <c r="E74" s="15">
        <f t="shared" si="9"/>
        <v>45.463156156663956</v>
      </c>
      <c r="F74" s="39">
        <f t="shared" si="10"/>
        <v>349.40419380839467</v>
      </c>
      <c r="G74" s="15">
        <f t="shared" si="11"/>
        <v>39.780261637080955</v>
      </c>
      <c r="H74" s="15">
        <f t="shared" si="16"/>
        <v>305.72866958234533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1.9998021120293847</v>
      </c>
      <c r="C75" s="15">
        <f t="shared" si="14"/>
        <v>37.388046263748663</v>
      </c>
      <c r="D75" s="39">
        <f t="shared" si="15"/>
        <v>386.79224007214333</v>
      </c>
      <c r="E75" s="15">
        <f t="shared" si="9"/>
        <v>37.388046263748663</v>
      </c>
      <c r="F75" s="39">
        <f t="shared" si="10"/>
        <v>386.79224007214333</v>
      </c>
      <c r="G75" s="15">
        <f t="shared" si="11"/>
        <v>32.71454048078008</v>
      </c>
      <c r="H75" s="15">
        <f t="shared" si="16"/>
        <v>338.44321006312543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1.9998021120293847</v>
      </c>
      <c r="C76" s="15">
        <f t="shared" si="14"/>
        <v>30.747227460478769</v>
      </c>
      <c r="D76" s="39">
        <f t="shared" si="15"/>
        <v>417.5394675326221</v>
      </c>
      <c r="E76" s="15">
        <f t="shared" si="9"/>
        <v>30.747227460478769</v>
      </c>
      <c r="F76" s="39">
        <f t="shared" si="10"/>
        <v>417.5394675326221</v>
      </c>
      <c r="G76" s="15">
        <f t="shared" si="11"/>
        <v>26.903824027918922</v>
      </c>
      <c r="H76" s="15">
        <f t="shared" si="16"/>
        <v>365.34703409104435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1.9998021120293847</v>
      </c>
      <c r="C77" s="15">
        <f t="shared" si="14"/>
        <v>25.348649548541403</v>
      </c>
      <c r="D77" s="39">
        <f t="shared" si="15"/>
        <v>442.8881170811635</v>
      </c>
      <c r="E77" s="15">
        <f t="shared" si="9"/>
        <v>25.348649548541403</v>
      </c>
      <c r="F77" s="39">
        <f t="shared" si="10"/>
        <v>442.8881170811635</v>
      </c>
      <c r="G77" s="15">
        <f t="shared" si="11"/>
        <v>22.180068354973727</v>
      </c>
      <c r="H77" s="15">
        <f t="shared" si="16"/>
        <v>387.52710244601809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1.9998021120293847</v>
      </c>
      <c r="C78" s="15">
        <f t="shared" si="14"/>
        <v>20.783546764260791</v>
      </c>
      <c r="D78" s="39">
        <f t="shared" si="15"/>
        <v>463.67166384542429</v>
      </c>
      <c r="E78" s="15">
        <f t="shared" si="9"/>
        <v>20.783546764260791</v>
      </c>
      <c r="F78" s="39">
        <f t="shared" si="10"/>
        <v>463.67166384542429</v>
      </c>
      <c r="G78" s="15">
        <f t="shared" si="11"/>
        <v>18.185603418728192</v>
      </c>
      <c r="H78" s="15">
        <f t="shared" si="16"/>
        <v>405.71270586474628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1.9998021120293847</v>
      </c>
      <c r="C79" s="15">
        <f t="shared" si="14"/>
        <v>17.091998744417651</v>
      </c>
      <c r="D79" s="39">
        <f t="shared" si="15"/>
        <v>480.76366258984194</v>
      </c>
      <c r="E79" s="15">
        <f t="shared" si="9"/>
        <v>17.091998744417651</v>
      </c>
      <c r="F79" s="39">
        <f t="shared" si="10"/>
        <v>480.76366258984194</v>
      </c>
      <c r="G79" s="15">
        <f t="shared" si="11"/>
        <v>14.955498901365445</v>
      </c>
      <c r="H79" s="15">
        <f t="shared" si="16"/>
        <v>420.66820476611173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1.9998021120293847</v>
      </c>
      <c r="C80" s="15">
        <f t="shared" si="14"/>
        <v>14.056138944558313</v>
      </c>
      <c r="D80" s="39">
        <f t="shared" si="15"/>
        <v>494.81980153440026</v>
      </c>
      <c r="E80" s="15">
        <f t="shared" si="9"/>
        <v>14.056138944558313</v>
      </c>
      <c r="F80" s="39">
        <f t="shared" si="10"/>
        <v>494.81980153440026</v>
      </c>
      <c r="G80" s="15">
        <f t="shared" si="11"/>
        <v>12.299121576488524</v>
      </c>
      <c r="H80" s="15">
        <f t="shared" si="16"/>
        <v>432.96732634260024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1.9998021120293847</v>
      </c>
      <c r="C81" s="15">
        <f t="shared" si="14"/>
        <v>11.588171342251769</v>
      </c>
      <c r="D81" s="39">
        <f t="shared" si="15"/>
        <v>506.40797287665202</v>
      </c>
      <c r="E81" s="15">
        <f t="shared" si="9"/>
        <v>11.588171342251769</v>
      </c>
      <c r="F81" s="39">
        <f t="shared" si="10"/>
        <v>506.40797287665202</v>
      </c>
      <c r="G81" s="15">
        <f t="shared" si="11"/>
        <v>10.139649924470298</v>
      </c>
      <c r="H81" s="15">
        <f t="shared" si="16"/>
        <v>443.10697626707054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1.9998021120293847</v>
      </c>
      <c r="C82" s="15">
        <f t="shared" si="14"/>
        <v>9.5012280848632145</v>
      </c>
      <c r="D82" s="39">
        <f t="shared" si="15"/>
        <v>515.90920096151524</v>
      </c>
      <c r="E82" s="15">
        <f t="shared" si="9"/>
        <v>9.5012280848632145</v>
      </c>
      <c r="F82" s="39">
        <f t="shared" si="10"/>
        <v>515.90920096151524</v>
      </c>
      <c r="G82" s="15">
        <f t="shared" si="11"/>
        <v>8.3135745742553127</v>
      </c>
      <c r="H82" s="15">
        <f t="shared" si="16"/>
        <v>451.42055084132585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1.9998021120293847</v>
      </c>
      <c r="C83" s="15">
        <f t="shared" si="14"/>
        <v>7.8136316355858071</v>
      </c>
      <c r="D83" s="39">
        <f t="shared" si="15"/>
        <v>523.72283259710105</v>
      </c>
      <c r="E83" s="15">
        <f t="shared" si="9"/>
        <v>7.8136316355858071</v>
      </c>
      <c r="F83" s="39">
        <f t="shared" si="10"/>
        <v>523.72283259710105</v>
      </c>
      <c r="G83" s="15">
        <f t="shared" si="11"/>
        <v>6.8369276811375812</v>
      </c>
      <c r="H83" s="15">
        <f t="shared" si="16"/>
        <v>458.25747852246343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1.9998021120293847</v>
      </c>
      <c r="C84" s="15">
        <f t="shared" si="14"/>
        <v>19.283434882237771</v>
      </c>
      <c r="D84" s="39">
        <f>IF(B63=0,D83,IF(E$6=1,(E$4)/(E$5/365)*LN((E$4)/E7)/1000,(E$4)^E$6*((E$4)^(1-E$6)-E7^(1-E$6))/((1-E$6)*E$5/365)/1000))</f>
        <v>543.00626747933882</v>
      </c>
      <c r="E84" s="15">
        <f t="shared" si="9"/>
        <v>19.283434882237771</v>
      </c>
      <c r="F84" s="39">
        <f t="shared" si="10"/>
        <v>543.00626747933882</v>
      </c>
      <c r="G84" s="18">
        <f t="shared" si="11"/>
        <v>16.873005521958049</v>
      </c>
      <c r="H84" s="15">
        <f t="shared" si="16"/>
        <v>475.13048404442145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2419.8100275482093</v>
      </c>
      <c r="N91" s="41">
        <f t="shared" ref="N91:N106" si="17">L91-M91</f>
        <v>-2419.8100275482093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6764.2598448582103</v>
      </c>
      <c r="I92" s="41">
        <f t="shared" ref="I92:I106" si="21">E70*K49*E$26+E70*(K49-E$14)*G$26+K70*L49*E$26+K70*(L49-E$15)*G$26+D92*M49*(E$26+G$26)/1000</f>
        <v>845.53248060727628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677.24394762096927</v>
      </c>
      <c r="L92" s="41">
        <f t="shared" ref="L92:L106" si="24">H92+J92-I92-K92</f>
        <v>5241.4834166299643</v>
      </c>
      <c r="M92" s="41">
        <f t="shared" ref="M92:M104" si="25">IF(B71&lt;B70,E$24*(1+E$21/365)^(A49-A$49),0)</f>
        <v>0</v>
      </c>
      <c r="N92" s="41">
        <f t="shared" si="17"/>
        <v>5241.4834166299643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5946.571280717696</v>
      </c>
      <c r="I93" s="41">
        <f t="shared" si="21"/>
        <v>743.321410089712</v>
      </c>
      <c r="J93" s="41">
        <f t="shared" si="22"/>
        <v>0</v>
      </c>
      <c r="K93" s="41">
        <f t="shared" si="23"/>
        <v>600.70257086061815</v>
      </c>
      <c r="L93" s="41">
        <f t="shared" si="24"/>
        <v>4602.547299767366</v>
      </c>
      <c r="M93" s="41">
        <f t="shared" si="25"/>
        <v>0</v>
      </c>
      <c r="N93" s="41">
        <f t="shared" si="17"/>
        <v>4602.547299767366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5108.7992554161983</v>
      </c>
      <c r="I94" s="41">
        <f t="shared" si="21"/>
        <v>638.59990692702479</v>
      </c>
      <c r="J94" s="41">
        <f t="shared" si="22"/>
        <v>0</v>
      </c>
      <c r="K94" s="41">
        <f t="shared" si="23"/>
        <v>537.14967161552499</v>
      </c>
      <c r="L94" s="41">
        <f t="shared" si="24"/>
        <v>3933.0496768736484</v>
      </c>
      <c r="M94" s="41">
        <f t="shared" si="25"/>
        <v>0</v>
      </c>
      <c r="N94" s="41">
        <f t="shared" si="17"/>
        <v>3933.0496768736484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4390.0568369189759</v>
      </c>
      <c r="I95" s="41">
        <f t="shared" si="21"/>
        <v>548.75710461487199</v>
      </c>
      <c r="J95" s="41">
        <f t="shared" si="22"/>
        <v>0</v>
      </c>
      <c r="K95" s="41">
        <f t="shared" si="23"/>
        <v>485.23274848341316</v>
      </c>
      <c r="L95" s="41">
        <f t="shared" si="24"/>
        <v>3356.0669838206909</v>
      </c>
      <c r="M95" s="41">
        <f t="shared" si="25"/>
        <v>0</v>
      </c>
      <c r="N95" s="41">
        <f t="shared" si="17"/>
        <v>3356.0669838206909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3745.5303711908255</v>
      </c>
      <c r="I96" s="41">
        <f t="shared" si="21"/>
        <v>468.19129639885318</v>
      </c>
      <c r="J96" s="41">
        <f t="shared" si="22"/>
        <v>0</v>
      </c>
      <c r="K96" s="41">
        <f t="shared" si="23"/>
        <v>440.91562108267669</v>
      </c>
      <c r="L96" s="41">
        <f t="shared" si="24"/>
        <v>2836.4234537092952</v>
      </c>
      <c r="M96" s="41">
        <f t="shared" si="25"/>
        <v>0</v>
      </c>
      <c r="N96" s="41">
        <f t="shared" si="17"/>
        <v>2836.4234537092952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3198.4857706725929</v>
      </c>
      <c r="I97" s="41">
        <f t="shared" si="21"/>
        <v>399.81072133407412</v>
      </c>
      <c r="J97" s="41">
        <f t="shared" si="22"/>
        <v>0</v>
      </c>
      <c r="K97" s="41">
        <f t="shared" si="23"/>
        <v>405.15364583862277</v>
      </c>
      <c r="L97" s="41">
        <f t="shared" si="24"/>
        <v>2393.5214034998962</v>
      </c>
      <c r="M97" s="41">
        <f t="shared" si="25"/>
        <v>0</v>
      </c>
      <c r="N97" s="41">
        <f t="shared" si="17"/>
        <v>2393.5214034998962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2697.0953912290202</v>
      </c>
      <c r="I98" s="41">
        <f t="shared" si="21"/>
        <v>337.13692390362752</v>
      </c>
      <c r="J98" s="41">
        <f t="shared" si="22"/>
        <v>0</v>
      </c>
      <c r="K98" s="41">
        <f t="shared" si="23"/>
        <v>375.86148713108543</v>
      </c>
      <c r="L98" s="41">
        <f t="shared" si="24"/>
        <v>1984.0969801943072</v>
      </c>
      <c r="M98" s="41">
        <f t="shared" si="25"/>
        <v>0</v>
      </c>
      <c r="N98" s="41">
        <f t="shared" si="17"/>
        <v>1984.0969801943072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2279.6180782308907</v>
      </c>
      <c r="I99" s="41">
        <f t="shared" si="21"/>
        <v>284.95225977886133</v>
      </c>
      <c r="J99" s="41">
        <f t="shared" si="22"/>
        <v>0</v>
      </c>
      <c r="K99" s="41">
        <f t="shared" si="23"/>
        <v>352.37068925118518</v>
      </c>
      <c r="L99" s="41">
        <f t="shared" si="24"/>
        <v>1642.295129200844</v>
      </c>
      <c r="M99" s="41">
        <f t="shared" si="25"/>
        <v>0</v>
      </c>
      <c r="N99" s="41">
        <f t="shared" si="17"/>
        <v>1642.295129200844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1915.939005794889</v>
      </c>
      <c r="I100" s="41">
        <f t="shared" si="21"/>
        <v>239.49237572436112</v>
      </c>
      <c r="J100" s="41">
        <f t="shared" si="22"/>
        <v>0</v>
      </c>
      <c r="K100" s="41">
        <f t="shared" si="23"/>
        <v>332.69097378759045</v>
      </c>
      <c r="L100" s="41">
        <f t="shared" si="24"/>
        <v>1343.7556562829373</v>
      </c>
      <c r="M100" s="41">
        <f t="shared" si="25"/>
        <v>0</v>
      </c>
      <c r="N100" s="41">
        <f t="shared" si="17"/>
        <v>1343.7556562829373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1610.8036076133571</v>
      </c>
      <c r="I101" s="41">
        <f t="shared" si="21"/>
        <v>201.35045095166964</v>
      </c>
      <c r="J101" s="41">
        <f t="shared" si="22"/>
        <v>0</v>
      </c>
      <c r="K101" s="41">
        <f t="shared" si="23"/>
        <v>317.28369157105033</v>
      </c>
      <c r="L101" s="41">
        <f t="shared" si="24"/>
        <v>1092.169465090637</v>
      </c>
      <c r="M101" s="41">
        <f t="shared" si="25"/>
        <v>0</v>
      </c>
      <c r="N101" s="41">
        <f t="shared" si="17"/>
        <v>1092.169465090637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1350.8618579841373</v>
      </c>
      <c r="I102" s="41">
        <f t="shared" si="21"/>
        <v>168.85773224801716</v>
      </c>
      <c r="J102" s="41">
        <f t="shared" si="22"/>
        <v>0</v>
      </c>
      <c r="K102" s="41">
        <f t="shared" si="23"/>
        <v>305.12387674665661</v>
      </c>
      <c r="L102" s="41">
        <f t="shared" si="24"/>
        <v>876.88024898946355</v>
      </c>
      <c r="M102" s="41">
        <f t="shared" si="25"/>
        <v>0</v>
      </c>
      <c r="N102" s="41">
        <f t="shared" si="17"/>
        <v>876.88024898946355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1136.1577805245636</v>
      </c>
      <c r="I103" s="41">
        <f t="shared" si="21"/>
        <v>142.01972256557045</v>
      </c>
      <c r="J103" s="41">
        <f t="shared" si="22"/>
        <v>0</v>
      </c>
      <c r="K103" s="41">
        <f t="shared" si="23"/>
        <v>295.88165180260552</v>
      </c>
      <c r="L103" s="41">
        <f t="shared" si="24"/>
        <v>698.25640615638758</v>
      </c>
      <c r="M103" s="41">
        <f t="shared" si="25"/>
        <v>0</v>
      </c>
      <c r="N103" s="41">
        <f t="shared" si="17"/>
        <v>698.25640615638758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950.24883485663179</v>
      </c>
      <c r="I104" s="41">
        <f t="shared" si="21"/>
        <v>118.78110435707897</v>
      </c>
      <c r="J104" s="41">
        <f t="shared" si="22"/>
        <v>0</v>
      </c>
      <c r="K104" s="41">
        <f t="shared" si="23"/>
        <v>288.57976160651594</v>
      </c>
      <c r="L104" s="41">
        <f t="shared" si="24"/>
        <v>542.88796889303683</v>
      </c>
      <c r="M104" s="41">
        <f t="shared" si="25"/>
        <v>0</v>
      </c>
      <c r="N104" s="41">
        <f t="shared" si="17"/>
        <v>542.88796889303683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797.27396745287672</v>
      </c>
      <c r="I105" s="41">
        <f t="shared" si="21"/>
        <v>99.65924593160959</v>
      </c>
      <c r="J105" s="41">
        <f t="shared" si="22"/>
        <v>0</v>
      </c>
      <c r="K105" s="41">
        <f t="shared" si="23"/>
        <v>283.43415030271677</v>
      </c>
      <c r="L105" s="41">
        <f t="shared" si="24"/>
        <v>414.18057121855037</v>
      </c>
      <c r="M105" s="41">
        <f>IF(B84&lt;B83,E$24*(1+E$21/365)^(A62-A$49),0)</f>
        <v>0</v>
      </c>
      <c r="N105" s="41">
        <f t="shared" si="17"/>
        <v>414.18057121855037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2006.7166154257279</v>
      </c>
      <c r="I106" s="41">
        <f t="shared" si="21"/>
        <v>250.83957692821599</v>
      </c>
      <c r="J106" s="41">
        <f t="shared" si="22"/>
        <v>0</v>
      </c>
      <c r="K106" s="41">
        <f t="shared" si="23"/>
        <v>364.78595959424382</v>
      </c>
      <c r="L106" s="41">
        <f t="shared" si="24"/>
        <v>1391.091078903268</v>
      </c>
      <c r="M106" s="41">
        <f>IF(B85&lt;B84,E$24*(1+E$21/365)^(A63-A$49),0)</f>
        <v>211.72609162494095</v>
      </c>
      <c r="N106" s="41">
        <f t="shared" si="17"/>
        <v>1179.3649872783271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C43" workbookViewId="0">
      <selection activeCell="I58" sqref="I58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498</v>
      </c>
    </row>
    <row r="5" spans="1:11">
      <c r="B5" t="s">
        <v>83</v>
      </c>
      <c r="I5" s="3">
        <f>'Cost inputs'!D19</f>
        <v>200</v>
      </c>
      <c r="J5" t="s">
        <v>61</v>
      </c>
      <c r="K5" t="s">
        <v>91</v>
      </c>
    </row>
    <row r="6" spans="1:11">
      <c r="B6" t="s">
        <v>85</v>
      </c>
      <c r="I6" s="3">
        <f>'Cost inputs'!D20</f>
        <v>400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inputs'!D21</f>
        <v>50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inputs'!D23</f>
        <v>150</v>
      </c>
      <c r="J8" t="s">
        <v>61</v>
      </c>
      <c r="K8" t="s">
        <v>91</v>
      </c>
    </row>
    <row r="9" spans="1:11">
      <c r="B9" t="s">
        <v>87</v>
      </c>
      <c r="H9" s="5"/>
      <c r="I9" s="3">
        <f>'Cost inputs'!D25</f>
        <v>10</v>
      </c>
      <c r="J9" t="s">
        <v>61</v>
      </c>
      <c r="K9" t="s">
        <v>91</v>
      </c>
    </row>
    <row r="10" spans="1:11">
      <c r="B10" t="s">
        <v>88</v>
      </c>
      <c r="H10" s="5"/>
      <c r="I10" s="3">
        <f>'Cost inputs'!D27</f>
        <v>30</v>
      </c>
      <c r="J10" t="s">
        <v>61</v>
      </c>
      <c r="K10" t="s">
        <v>91</v>
      </c>
    </row>
    <row r="11" spans="1:11">
      <c r="B11" t="s">
        <v>59</v>
      </c>
      <c r="I11" s="3">
        <f>'Cost inputs'!D29</f>
        <v>8</v>
      </c>
      <c r="J11" t="s">
        <v>61</v>
      </c>
      <c r="K11" t="s">
        <v>91</v>
      </c>
    </row>
    <row r="12" spans="1:11">
      <c r="B12" t="s">
        <v>60</v>
      </c>
      <c r="I12" s="3">
        <f>'Cost inputs'!D30</f>
        <v>10</v>
      </c>
      <c r="J12" t="s">
        <v>61</v>
      </c>
      <c r="K12" t="s">
        <v>91</v>
      </c>
    </row>
    <row r="13" spans="1:11">
      <c r="B13" t="s">
        <v>205</v>
      </c>
      <c r="I13" s="3">
        <f>'Cost inputs'!D32</f>
        <v>400</v>
      </c>
      <c r="J13" t="s">
        <v>58</v>
      </c>
      <c r="K13" t="s">
        <v>91</v>
      </c>
    </row>
    <row r="14" spans="1:11">
      <c r="B14" t="s">
        <v>191</v>
      </c>
      <c r="I14" s="3">
        <f>'Cost inputs'!D33</f>
        <v>10</v>
      </c>
      <c r="J14" t="s">
        <v>61</v>
      </c>
      <c r="K14" t="s">
        <v>91</v>
      </c>
    </row>
    <row r="15" spans="1:11">
      <c r="B15" t="s">
        <v>199</v>
      </c>
      <c r="I15" s="3">
        <f>'Cost inputs'!D35</f>
        <v>20</v>
      </c>
      <c r="J15" t="s">
        <v>61</v>
      </c>
      <c r="K15" t="s">
        <v>91</v>
      </c>
    </row>
    <row r="16" spans="1:11">
      <c r="B16" t="s">
        <v>213</v>
      </c>
      <c r="I16" s="3">
        <f>'Cost inputs'!D38</f>
        <v>75</v>
      </c>
      <c r="J16" t="s">
        <v>58</v>
      </c>
      <c r="K16" t="s">
        <v>91</v>
      </c>
    </row>
    <row r="18" spans="1:11">
      <c r="A18" t="s">
        <v>373</v>
      </c>
    </row>
    <row r="19" spans="1:11">
      <c r="B19" t="s">
        <v>62</v>
      </c>
      <c r="C19" s="8">
        <f>Summary!E10</f>
        <v>74.959802571166207</v>
      </c>
      <c r="D19" t="s">
        <v>68</v>
      </c>
      <c r="E19" t="s">
        <v>206</v>
      </c>
      <c r="G19" t="s">
        <v>207</v>
      </c>
      <c r="I19" s="11">
        <f>Summary!G10</f>
        <v>199.44995426943501</v>
      </c>
      <c r="J19" t="s">
        <v>208</v>
      </c>
      <c r="K19" t="s">
        <v>91</v>
      </c>
    </row>
    <row r="20" spans="1:11">
      <c r="G20" t="s">
        <v>80</v>
      </c>
      <c r="I20" s="10">
        <f>Summary!H10</f>
        <v>120</v>
      </c>
      <c r="J20" t="s">
        <v>81</v>
      </c>
      <c r="K20" t="s">
        <v>91</v>
      </c>
    </row>
    <row r="21" spans="1:11">
      <c r="G21" t="s">
        <v>206</v>
      </c>
      <c r="I21" s="11">
        <f>I19*I20*C19/1000</f>
        <v>1794.0875033837974</v>
      </c>
      <c r="J21" t="s">
        <v>135</v>
      </c>
    </row>
    <row r="22" spans="1:11">
      <c r="A22" t="s">
        <v>200</v>
      </c>
      <c r="C22">
        <f>Summary!C26</f>
        <v>75</v>
      </c>
      <c r="D22" t="s">
        <v>209</v>
      </c>
      <c r="I22" s="8"/>
    </row>
    <row r="23" spans="1:11">
      <c r="E23" t="s">
        <v>63</v>
      </c>
      <c r="F23" t="s">
        <v>65</v>
      </c>
      <c r="G23">
        <f>C19/C22</f>
        <v>0.99946403428221609</v>
      </c>
      <c r="H23" t="s">
        <v>67</v>
      </c>
      <c r="I23" s="2">
        <f>G23*SUM(I$5,I$7,I9,I$12)</f>
        <v>269.85528925619832</v>
      </c>
      <c r="J23" t="s">
        <v>58</v>
      </c>
    </row>
    <row r="24" spans="1:11">
      <c r="E24" t="s">
        <v>210</v>
      </c>
      <c r="I24" s="3">
        <f>I13</f>
        <v>400</v>
      </c>
      <c r="J24" t="s">
        <v>58</v>
      </c>
    </row>
    <row r="25" spans="1:11">
      <c r="E25" t="s">
        <v>69</v>
      </c>
      <c r="I25" s="3">
        <f>SUM(I23:I24)</f>
        <v>669.85528925619838</v>
      </c>
      <c r="J25" t="s">
        <v>58</v>
      </c>
    </row>
    <row r="27" spans="1:11">
      <c r="C27" t="s">
        <v>70</v>
      </c>
      <c r="G27" s="8">
        <f>Summary!E26</f>
        <v>300</v>
      </c>
      <c r="H27" t="s">
        <v>211</v>
      </c>
      <c r="I27" s="8">
        <f>G27*G23</f>
        <v>299.83921028466483</v>
      </c>
      <c r="J27" t="s">
        <v>212</v>
      </c>
    </row>
    <row r="28" spans="1:11">
      <c r="C28" t="s">
        <v>71</v>
      </c>
      <c r="I28" s="6">
        <f>(I27-I29)*0.365/I30</f>
        <v>5.5405137288605737E-2</v>
      </c>
      <c r="J28" s="4" t="s">
        <v>74</v>
      </c>
    </row>
    <row r="29" spans="1:11">
      <c r="C29" t="s">
        <v>72</v>
      </c>
      <c r="I29" s="8">
        <f>I35*1000/(30.4*(I32*(1-I33)-I34))</f>
        <v>81.972548514251244</v>
      </c>
      <c r="J29" t="s">
        <v>212</v>
      </c>
    </row>
    <row r="30" spans="1:11">
      <c r="C30" t="s">
        <v>75</v>
      </c>
      <c r="I30" s="8">
        <f>I$21*I31</f>
        <v>1435.270002707038</v>
      </c>
      <c r="J30" t="s">
        <v>135</v>
      </c>
    </row>
    <row r="31" spans="1:11">
      <c r="C31" t="s">
        <v>82</v>
      </c>
      <c r="I31" s="9">
        <f>Summary!H26</f>
        <v>0.8</v>
      </c>
    </row>
    <row r="32" spans="1:11">
      <c r="C32" t="s">
        <v>355</v>
      </c>
      <c r="I32" s="2">
        <f>Prices!F14</f>
        <v>4.8718819288820665</v>
      </c>
      <c r="J32" s="4" t="s">
        <v>111</v>
      </c>
    </row>
    <row r="33" spans="1:10">
      <c r="C33" t="s">
        <v>354</v>
      </c>
      <c r="I33" s="66">
        <v>0.125</v>
      </c>
    </row>
    <row r="34" spans="1:10">
      <c r="C34" t="s">
        <v>185</v>
      </c>
      <c r="I34" s="2">
        <f>Summary!G48</f>
        <v>0.25</v>
      </c>
      <c r="J34" s="4" t="s">
        <v>111</v>
      </c>
    </row>
    <row r="35" spans="1:10">
      <c r="C35" t="s">
        <v>186</v>
      </c>
      <c r="I35" s="3">
        <f>Summary!F48</f>
        <v>10</v>
      </c>
      <c r="J35" s="4" t="s">
        <v>188</v>
      </c>
    </row>
    <row r="36" spans="1:10">
      <c r="C36" t="s">
        <v>191</v>
      </c>
      <c r="I36" s="3">
        <f>I14</f>
        <v>10</v>
      </c>
      <c r="J36" s="4" t="s">
        <v>61</v>
      </c>
    </row>
    <row r="37" spans="1:10">
      <c r="C37" t="s">
        <v>213</v>
      </c>
      <c r="I37" s="3">
        <f>I16</f>
        <v>75</v>
      </c>
      <c r="J37" s="4" t="s">
        <v>58</v>
      </c>
    </row>
    <row r="38" spans="1:10">
      <c r="C38" t="s">
        <v>203</v>
      </c>
      <c r="I38" s="3">
        <f>'Sil Gu gas ver ec '!C35</f>
        <v>867.37863982608565</v>
      </c>
      <c r="J38" s="4" t="s">
        <v>58</v>
      </c>
    </row>
    <row r="39" spans="1:10">
      <c r="C39" t="s">
        <v>204</v>
      </c>
      <c r="I39" s="3">
        <f>'Sil Gu gas ver ec '!C36</f>
        <v>666.76638988523462</v>
      </c>
      <c r="J39" s="4" t="s">
        <v>58</v>
      </c>
    </row>
    <row r="40" spans="1:10">
      <c r="C40" t="s">
        <v>197</v>
      </c>
      <c r="I40" s="44">
        <f>'Sil Gu gas ver ec '!C38</f>
        <v>0.36661421200936073</v>
      </c>
      <c r="J40" s="4"/>
    </row>
    <row r="42" spans="1:10">
      <c r="A42" t="s">
        <v>200</v>
      </c>
      <c r="C42">
        <f>Summary!C27</f>
        <v>75</v>
      </c>
      <c r="D42" t="s">
        <v>459</v>
      </c>
      <c r="I42" s="8"/>
    </row>
    <row r="43" spans="1:10">
      <c r="E43" t="s">
        <v>63</v>
      </c>
      <c r="F43" t="s">
        <v>65</v>
      </c>
      <c r="G43">
        <f>C19/C42</f>
        <v>0.99946403428221609</v>
      </c>
      <c r="H43" t="s">
        <v>67</v>
      </c>
      <c r="I43" s="3">
        <f>G43*SUM(I$6,I$8,I$10,I$12)</f>
        <v>589.68378022650745</v>
      </c>
      <c r="J43" t="s">
        <v>58</v>
      </c>
    </row>
    <row r="44" spans="1:10">
      <c r="E44" t="s">
        <v>210</v>
      </c>
      <c r="I44" s="3">
        <f>I13</f>
        <v>400</v>
      </c>
      <c r="J44" t="s">
        <v>58</v>
      </c>
    </row>
    <row r="45" spans="1:10">
      <c r="E45" t="s">
        <v>69</v>
      </c>
      <c r="I45" s="3">
        <f>SUM(I43:I44)</f>
        <v>989.68378022650745</v>
      </c>
      <c r="J45" t="s">
        <v>58</v>
      </c>
    </row>
    <row r="47" spans="1:10">
      <c r="C47" t="s">
        <v>70</v>
      </c>
      <c r="G47" s="8">
        <f>Summary!E27</f>
        <v>750</v>
      </c>
      <c r="H47" t="s">
        <v>211</v>
      </c>
      <c r="I47" s="8">
        <f>G47*G43</f>
        <v>749.5980257116621</v>
      </c>
      <c r="J47" t="s">
        <v>212</v>
      </c>
    </row>
    <row r="48" spans="1:10">
      <c r="C48" t="s">
        <v>71</v>
      </c>
      <c r="I48" s="6">
        <f>(I47-I49)*0.365/I50</f>
        <v>0.16978220036470359</v>
      </c>
      <c r="J48" s="4" t="s">
        <v>74</v>
      </c>
    </row>
    <row r="49" spans="3:10">
      <c r="C49" t="s">
        <v>72</v>
      </c>
      <c r="I49" s="8">
        <f>I55*1000/(30.4*(I52*(1-I53)-I54))</f>
        <v>81.972548514251244</v>
      </c>
      <c r="J49" t="s">
        <v>212</v>
      </c>
    </row>
    <row r="50" spans="3:10">
      <c r="C50" t="s">
        <v>75</v>
      </c>
      <c r="I50" s="8">
        <f>I$21*I51</f>
        <v>1435.270002707038</v>
      </c>
      <c r="J50" t="s">
        <v>135</v>
      </c>
    </row>
    <row r="51" spans="3:10">
      <c r="C51" t="s">
        <v>82</v>
      </c>
      <c r="I51" s="9">
        <f>Summary!H27</f>
        <v>0.8</v>
      </c>
    </row>
    <row r="52" spans="3:10">
      <c r="C52" t="s">
        <v>355</v>
      </c>
      <c r="I52" s="2">
        <f>Prices!F14</f>
        <v>4.8718819288820665</v>
      </c>
      <c r="J52" s="4" t="s">
        <v>111</v>
      </c>
    </row>
    <row r="53" spans="3:10">
      <c r="C53" t="s">
        <v>354</v>
      </c>
      <c r="I53" s="66">
        <v>0.125</v>
      </c>
    </row>
    <row r="54" spans="3:10">
      <c r="C54" t="s">
        <v>185</v>
      </c>
      <c r="I54" s="2">
        <f>Summary!G49</f>
        <v>0.25</v>
      </c>
      <c r="J54" s="4" t="s">
        <v>111</v>
      </c>
    </row>
    <row r="55" spans="3:10">
      <c r="C55" t="s">
        <v>186</v>
      </c>
      <c r="I55" s="3">
        <f>Summary!F49</f>
        <v>10</v>
      </c>
      <c r="J55" s="4" t="s">
        <v>188</v>
      </c>
    </row>
    <row r="56" spans="3:10">
      <c r="C56" t="s">
        <v>199</v>
      </c>
      <c r="I56" s="3">
        <f>I15</f>
        <v>20</v>
      </c>
      <c r="J56" s="4" t="s">
        <v>61</v>
      </c>
    </row>
    <row r="57" spans="3:10">
      <c r="C57" t="s">
        <v>213</v>
      </c>
      <c r="I57" s="3">
        <f>I16</f>
        <v>75</v>
      </c>
      <c r="J57" s="4" t="s">
        <v>58</v>
      </c>
    </row>
    <row r="58" spans="3:10">
      <c r="C58" t="s">
        <v>203</v>
      </c>
      <c r="I58" s="3">
        <f>'Sil Gu gas hor ec'!C35</f>
        <v>1444.6021461897481</v>
      </c>
      <c r="J58" t="s">
        <v>58</v>
      </c>
    </row>
    <row r="59" spans="3:10">
      <c r="C59" t="s">
        <v>204</v>
      </c>
      <c r="I59" s="3">
        <f>'Sil Gu gas hor ec'!C36</f>
        <v>1267.0762642967961</v>
      </c>
      <c r="J59" t="s">
        <v>58</v>
      </c>
    </row>
    <row r="60" spans="3:10">
      <c r="C60" t="s">
        <v>197</v>
      </c>
      <c r="I60" s="44">
        <f>'Sil Gu gas hor ec'!C38</f>
        <v>0.68188866927876779</v>
      </c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8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507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75">
        <f>'Sil Gu gas'!I27</f>
        <v>299.83921028466483</v>
      </c>
      <c r="F4" s="14" t="s">
        <v>212</v>
      </c>
      <c r="G4" s="15"/>
    </row>
    <row r="5" spans="1:21" ht="15.75">
      <c r="A5" s="14" t="s">
        <v>184</v>
      </c>
      <c r="B5" s="14"/>
      <c r="E5" s="26">
        <f>'Sil Gu gas'!I28</f>
        <v>5.5405137288605737E-2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'Sil Gu gas'!I29</f>
        <v>81.972548514251244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75">
        <f>'Sil Gu gas'!G23</f>
        <v>0.99946403428221609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84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84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Gu gas'!I35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84">
        <f>'Sil Gu gas'!I34</f>
        <v>0.25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'Sil Gu gas'!I25</f>
        <v>669.85528925619838</v>
      </c>
      <c r="F24" s="12" t="s">
        <v>195</v>
      </c>
    </row>
    <row r="25" spans="1:21">
      <c r="B25" s="12" t="s">
        <v>193</v>
      </c>
      <c r="E25" s="42">
        <f>'Sil Gu gas'!I36+'Sil Gu gas'!I37</f>
        <v>85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3554.9277738452129</v>
      </c>
      <c r="D32" s="12" t="s">
        <v>58</v>
      </c>
      <c r="E32" s="84">
        <f>C32/E$24</f>
        <v>5.3070085895605521</v>
      </c>
    </row>
    <row r="33" spans="1:19">
      <c r="A33" s="26">
        <v>0.05</v>
      </c>
      <c r="B33" s="12" t="s">
        <v>128</v>
      </c>
      <c r="C33" s="29">
        <f t="shared" ref="C33:C37" si="0">NPV(A33,N$92:N$107)</f>
        <v>1962.0513456182157</v>
      </c>
      <c r="D33" s="12" t="s">
        <v>58</v>
      </c>
      <c r="E33" s="84">
        <f t="shared" ref="E33:E37" si="1">C33/E$24</f>
        <v>2.9290674823167566</v>
      </c>
    </row>
    <row r="34" spans="1:19">
      <c r="A34" s="26">
        <v>0.1</v>
      </c>
      <c r="B34" s="12" t="s">
        <v>128</v>
      </c>
      <c r="C34" s="29">
        <f t="shared" si="0"/>
        <v>1131.0788504362411</v>
      </c>
      <c r="D34" s="12" t="s">
        <v>58</v>
      </c>
      <c r="E34" s="84">
        <f t="shared" si="1"/>
        <v>1.6885420904747672</v>
      </c>
    </row>
    <row r="35" spans="1:19">
      <c r="A35" s="26">
        <v>0.125</v>
      </c>
      <c r="B35" s="12" t="s">
        <v>128</v>
      </c>
      <c r="C35" s="29">
        <f t="shared" si="0"/>
        <v>867.37863982608565</v>
      </c>
      <c r="D35" s="12" t="s">
        <v>58</v>
      </c>
      <c r="E35" s="84">
        <f t="shared" si="1"/>
        <v>1.2948746598526011</v>
      </c>
      <c r="F35" s="14"/>
    </row>
    <row r="36" spans="1:19">
      <c r="A36" s="26">
        <v>0.15</v>
      </c>
      <c r="B36" s="12" t="s">
        <v>128</v>
      </c>
      <c r="C36" s="29">
        <f t="shared" si="0"/>
        <v>666.76638988523462</v>
      </c>
      <c r="D36" s="12" t="s">
        <v>58</v>
      </c>
      <c r="E36" s="84">
        <f t="shared" si="1"/>
        <v>0.99538870645569788</v>
      </c>
      <c r="F36" s="14"/>
    </row>
    <row r="37" spans="1:19">
      <c r="A37" s="26">
        <v>0.2</v>
      </c>
      <c r="B37" s="12" t="s">
        <v>128</v>
      </c>
      <c r="C37" s="29">
        <f t="shared" si="0"/>
        <v>390.24370502878384</v>
      </c>
      <c r="D37" s="12" t="s">
        <v>58</v>
      </c>
      <c r="E37" s="84">
        <f t="shared" si="1"/>
        <v>0.58257912012922541</v>
      </c>
      <c r="F37" s="14"/>
    </row>
    <row r="38" spans="1:19">
      <c r="A38" s="12" t="s">
        <v>197</v>
      </c>
      <c r="C38" s="25">
        <f>IF(SUM(N92:N107)&lt;0,0,IRR(N92:N107))</f>
        <v>0.36661421200936073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1435.270002707038</v>
      </c>
      <c r="I41" s="14" t="s">
        <v>135</v>
      </c>
      <c r="J41" s="33">
        <f>C107</f>
        <v>0</v>
      </c>
      <c r="K41" s="14" t="s">
        <v>136</v>
      </c>
      <c r="L41" s="33">
        <f>F41+H41/E$42+J41</f>
        <v>239.21166711783965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299.83921028466483</v>
      </c>
      <c r="F50" s="18">
        <f>E50*E$11</f>
        <v>299.83921028466483</v>
      </c>
      <c r="G50" s="35">
        <f>F50*(1-$E$27)</f>
        <v>262.35930899908175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283.67840732366221</v>
      </c>
      <c r="F51" s="18">
        <f t="shared" ref="F51:F64" si="7">E51*E$11</f>
        <v>283.67840732366221</v>
      </c>
      <c r="G51" s="35">
        <f t="shared" ref="G51:G64" si="8">F51*(1-$E$27)</f>
        <v>248.21860640820444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268.38864305068313</v>
      </c>
      <c r="F52" s="18">
        <f t="shared" si="7"/>
        <v>268.38864305068313</v>
      </c>
      <c r="G52" s="35">
        <f t="shared" si="8"/>
        <v>234.84006266934773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253.92297002147828</v>
      </c>
      <c r="F53" s="18">
        <f t="shared" si="7"/>
        <v>253.92297002147828</v>
      </c>
      <c r="G53" s="35">
        <f t="shared" si="8"/>
        <v>222.1825987687935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240.20050719735886</v>
      </c>
      <c r="F54" s="18">
        <f t="shared" si="7"/>
        <v>240.20050719735886</v>
      </c>
      <c r="G54" s="35">
        <f t="shared" si="8"/>
        <v>210.17544379768901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227.25412482040414</v>
      </c>
      <c r="F55" s="18">
        <f t="shared" si="7"/>
        <v>227.25412482040414</v>
      </c>
      <c r="G55" s="35">
        <f t="shared" si="8"/>
        <v>198.84735921785364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215.00552954892211</v>
      </c>
      <c r="F56" s="18">
        <f t="shared" si="7"/>
        <v>215.00552954892211</v>
      </c>
      <c r="G56" s="35">
        <f t="shared" si="8"/>
        <v>188.12983835530684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203.41711189244774</v>
      </c>
      <c r="F57" s="18">
        <f t="shared" si="7"/>
        <v>203.41711189244774</v>
      </c>
      <c r="G57" s="35">
        <f t="shared" si="8"/>
        <v>177.98997290589176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192.42407823543846</v>
      </c>
      <c r="F58" s="18">
        <f t="shared" si="7"/>
        <v>192.42407823543846</v>
      </c>
      <c r="G58" s="35">
        <f t="shared" si="8"/>
        <v>168.37106845600866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182.05276085382212</v>
      </c>
      <c r="F59" s="18">
        <f t="shared" si="7"/>
        <v>182.05276085382212</v>
      </c>
      <c r="G59" s="35">
        <f t="shared" si="8"/>
        <v>159.29616574709436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172.24043913021589</v>
      </c>
      <c r="F60" s="18">
        <f t="shared" si="7"/>
        <v>172.24043913021589</v>
      </c>
      <c r="G60" s="35">
        <f t="shared" si="8"/>
        <v>150.7103842389389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162.95698418762419</v>
      </c>
      <c r="F61" s="18">
        <f t="shared" si="7"/>
        <v>162.95698418762419</v>
      </c>
      <c r="G61" s="35">
        <f t="shared" si="8"/>
        <v>142.58736116417117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154.15049000847944</v>
      </c>
      <c r="F62" s="18">
        <f t="shared" si="7"/>
        <v>154.15049000847944</v>
      </c>
      <c r="G62" s="35">
        <f t="shared" si="8"/>
        <v>134.88167875741951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145.84205131894342</v>
      </c>
      <c r="F63" s="18">
        <f t="shared" si="7"/>
        <v>145.84205131894342</v>
      </c>
      <c r="G63" s="35">
        <f t="shared" si="8"/>
        <v>127.6117949040755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137.98142277554433</v>
      </c>
      <c r="F64" s="18">
        <f t="shared" si="7"/>
        <v>137.98142277554433</v>
      </c>
      <c r="G64" s="35">
        <f t="shared" si="8"/>
        <v>120.73374492860128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0.99946403428221609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106.46473178181336</v>
      </c>
      <c r="J71" s="39">
        <f>IF(E51=0,0,IF(E$6=1,(E$4)/(E$5/365)*LN((E$4)/E51)/1000,(E$4)^E$6*((E$4)^(1-E$6)-E51^(1-E$6))/((1-E$6)*E$5/365)/1000))</f>
        <v>106.46473178181336</v>
      </c>
      <c r="K71" s="15">
        <f>I71*E$11</f>
        <v>106.46473178181336</v>
      </c>
      <c r="L71" s="39">
        <f>J71*E$11</f>
        <v>106.46473178181336</v>
      </c>
      <c r="M71" s="15">
        <f t="shared" ref="M71:M85" si="14">IF(K71=0,0,(H93-I93)/H93*K71)</f>
        <v>93.156640309086683</v>
      </c>
      <c r="N71" s="15">
        <f>M71</f>
        <v>93.156640309086683</v>
      </c>
    </row>
    <row r="72" spans="1:14">
      <c r="A72" s="38">
        <f t="shared" si="10"/>
        <v>43101</v>
      </c>
      <c r="B72" s="15">
        <f>IF(E52=0,0,B71)</f>
        <v>0.99946403428221609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100.72647109539915</v>
      </c>
      <c r="J72" s="39">
        <f>IF(E52=0,J71,IF(E$6=1,(E$4)/(E$5/365)*LN((E$4)/E52)/1000,(E$4)^E$6*((E$4)^(1-E$6)-E52^(1-E$6))/((1-E$6)*E$5/365)/1000))</f>
        <v>207.1912028772125</v>
      </c>
      <c r="K72" s="15">
        <f t="shared" ref="K72:K85" si="18">I72*E$11</f>
        <v>100.72647109539915</v>
      </c>
      <c r="L72" s="39">
        <f t="shared" ref="L72:L85" si="19">J72*E$11</f>
        <v>207.1912028772125</v>
      </c>
      <c r="M72" s="15">
        <f t="shared" si="14"/>
        <v>88.135662208474258</v>
      </c>
      <c r="N72" s="15">
        <f t="shared" ref="N72:N85" si="20">M72+N71</f>
        <v>181.29230251756093</v>
      </c>
    </row>
    <row r="73" spans="1:14">
      <c r="A73" s="38">
        <f t="shared" si="10"/>
        <v>43466</v>
      </c>
      <c r="B73" s="15">
        <f t="shared" ref="B73:B84" si="21">IF(E53=0,0,B72)</f>
        <v>0.99946403428221609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95.297492507894447</v>
      </c>
      <c r="J73" s="39">
        <f t="shared" ref="J73:J84" si="23">IF(E53=0,J72,IF(E$6=1,(E$4)/(E$5/365)*LN((E$4)/E53)/1000,(E$4)^E$6*((E$4)^(1-E$6)-E53^(1-E$6))/((1-E$6)*E$5/365)/1000))</f>
        <v>302.48869538510695</v>
      </c>
      <c r="K73" s="15">
        <f t="shared" si="18"/>
        <v>95.297492507894447</v>
      </c>
      <c r="L73" s="39">
        <f t="shared" si="19"/>
        <v>302.48869538510695</v>
      </c>
      <c r="M73" s="15">
        <f t="shared" si="14"/>
        <v>83.385305944407634</v>
      </c>
      <c r="N73" s="15">
        <f t="shared" si="20"/>
        <v>264.67760846196859</v>
      </c>
    </row>
    <row r="74" spans="1:14">
      <c r="A74" s="38">
        <f t="shared" si="10"/>
        <v>43831</v>
      </c>
      <c r="B74" s="15">
        <f t="shared" si="21"/>
        <v>0.99946403428221609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90.401345000071785</v>
      </c>
      <c r="J74" s="39">
        <f t="shared" si="23"/>
        <v>392.89004038517874</v>
      </c>
      <c r="K74" s="15">
        <f t="shared" si="18"/>
        <v>90.401345000071785</v>
      </c>
      <c r="L74" s="39">
        <f t="shared" si="19"/>
        <v>392.89004038517874</v>
      </c>
      <c r="M74" s="15">
        <f t="shared" si="14"/>
        <v>79.101176875062805</v>
      </c>
      <c r="N74" s="15">
        <f t="shared" si="20"/>
        <v>343.77878533703142</v>
      </c>
    </row>
    <row r="75" spans="1:14">
      <c r="A75" s="38">
        <f t="shared" si="10"/>
        <v>44197</v>
      </c>
      <c r="B75" s="15">
        <f t="shared" si="21"/>
        <v>0.99946403428221609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85.288653703242005</v>
      </c>
      <c r="J75" s="39">
        <f t="shared" si="23"/>
        <v>478.17869408842074</v>
      </c>
      <c r="K75" s="15">
        <f t="shared" si="18"/>
        <v>85.288653703242005</v>
      </c>
      <c r="L75" s="39">
        <f t="shared" si="19"/>
        <v>478.17869408842074</v>
      </c>
      <c r="M75" s="15">
        <f t="shared" si="14"/>
        <v>74.627571990336747</v>
      </c>
      <c r="N75" s="15">
        <f t="shared" si="20"/>
        <v>418.40635732736814</v>
      </c>
    </row>
    <row r="76" spans="1:14">
      <c r="A76" s="38">
        <f t="shared" si="10"/>
        <v>44562</v>
      </c>
      <c r="B76" s="15">
        <f t="shared" si="21"/>
        <v>0.99946403428221609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80.691746160700575</v>
      </c>
      <c r="J76" s="39">
        <f t="shared" si="23"/>
        <v>558.87044024912132</v>
      </c>
      <c r="K76" s="15">
        <f t="shared" si="18"/>
        <v>80.691746160700575</v>
      </c>
      <c r="L76" s="39">
        <f t="shared" si="19"/>
        <v>558.87044024912132</v>
      </c>
      <c r="M76" s="15">
        <f t="shared" si="14"/>
        <v>70.60527789061301</v>
      </c>
      <c r="N76" s="15">
        <f t="shared" si="20"/>
        <v>489.01163521798117</v>
      </c>
    </row>
    <row r="77" spans="1:14">
      <c r="A77" s="38">
        <f t="shared" si="10"/>
        <v>44927</v>
      </c>
      <c r="B77" s="15">
        <f t="shared" si="21"/>
        <v>0.99946403428221609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76.342603801886298</v>
      </c>
      <c r="J77" s="39">
        <f t="shared" si="23"/>
        <v>635.21304405100761</v>
      </c>
      <c r="K77" s="15">
        <f t="shared" si="18"/>
        <v>76.342603801886298</v>
      </c>
      <c r="L77" s="39">
        <f t="shared" si="19"/>
        <v>635.21304405100761</v>
      </c>
      <c r="M77" s="15">
        <f t="shared" si="14"/>
        <v>66.799778326650497</v>
      </c>
      <c r="N77" s="15">
        <f t="shared" si="20"/>
        <v>555.81141354463171</v>
      </c>
    </row>
    <row r="78" spans="1:14">
      <c r="A78" s="38">
        <f t="shared" si="10"/>
        <v>45292</v>
      </c>
      <c r="B78" s="15">
        <f t="shared" si="21"/>
        <v>0.99946403428221609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72.420311205213125</v>
      </c>
      <c r="J78" s="39">
        <f t="shared" si="23"/>
        <v>707.63335525622074</v>
      </c>
      <c r="K78" s="15">
        <f t="shared" si="18"/>
        <v>72.420311205213125</v>
      </c>
      <c r="L78" s="39">
        <f t="shared" si="19"/>
        <v>707.63335525622074</v>
      </c>
      <c r="M78" s="15">
        <f t="shared" si="14"/>
        <v>63.367772304561484</v>
      </c>
      <c r="N78" s="15">
        <f t="shared" si="20"/>
        <v>619.17918584919323</v>
      </c>
    </row>
    <row r="79" spans="1:14">
      <c r="A79" s="38">
        <f t="shared" si="10"/>
        <v>45658</v>
      </c>
      <c r="B79" s="15">
        <f t="shared" si="21"/>
        <v>0.99946403428221609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68.324545873266516</v>
      </c>
      <c r="J79" s="39">
        <f t="shared" si="23"/>
        <v>775.95790112948725</v>
      </c>
      <c r="K79" s="15">
        <f t="shared" si="18"/>
        <v>68.324545873266516</v>
      </c>
      <c r="L79" s="39">
        <f t="shared" si="19"/>
        <v>775.95790112948725</v>
      </c>
      <c r="M79" s="15">
        <f t="shared" si="14"/>
        <v>59.783977639108201</v>
      </c>
      <c r="N79" s="15">
        <f t="shared" si="20"/>
        <v>678.96316348830146</v>
      </c>
    </row>
    <row r="80" spans="1:14">
      <c r="A80" s="38">
        <f t="shared" si="10"/>
        <v>46023</v>
      </c>
      <c r="B80" s="15">
        <f t="shared" si="21"/>
        <v>0.99946403428221609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64.641973729985125</v>
      </c>
      <c r="J80" s="39">
        <f t="shared" si="23"/>
        <v>840.59987485947238</v>
      </c>
      <c r="K80" s="15">
        <f t="shared" si="18"/>
        <v>64.641973729985125</v>
      </c>
      <c r="L80" s="39">
        <f t="shared" si="19"/>
        <v>840.59987485947238</v>
      </c>
      <c r="M80" s="15">
        <f t="shared" si="14"/>
        <v>56.561727013736984</v>
      </c>
      <c r="N80" s="15">
        <f t="shared" si="20"/>
        <v>735.52489050203849</v>
      </c>
    </row>
    <row r="81" spans="1:18">
      <c r="A81" s="38">
        <f t="shared" si="10"/>
        <v>46388</v>
      </c>
      <c r="B81" s="15">
        <f t="shared" si="21"/>
        <v>0.99946403428221609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61.157885710046116</v>
      </c>
      <c r="J81" s="39">
        <f t="shared" si="23"/>
        <v>901.7577605695185</v>
      </c>
      <c r="K81" s="15">
        <f t="shared" si="18"/>
        <v>61.157885710046116</v>
      </c>
      <c r="L81" s="39">
        <f t="shared" si="19"/>
        <v>901.7577605695185</v>
      </c>
      <c r="M81" s="15">
        <f t="shared" si="14"/>
        <v>53.513149996290345</v>
      </c>
      <c r="N81" s="15">
        <f t="shared" si="20"/>
        <v>789.03804049832888</v>
      </c>
    </row>
    <row r="82" spans="1:18">
      <c r="A82" s="38">
        <f t="shared" si="10"/>
        <v>46753</v>
      </c>
      <c r="B82" s="15">
        <f t="shared" si="21"/>
        <v>0.99946403428221609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58.015746060589436</v>
      </c>
      <c r="J82" s="39">
        <f t="shared" si="23"/>
        <v>959.77350663010793</v>
      </c>
      <c r="K82" s="15">
        <f t="shared" si="18"/>
        <v>58.015746060589436</v>
      </c>
      <c r="L82" s="39">
        <f t="shared" si="19"/>
        <v>959.77350663010793</v>
      </c>
      <c r="M82" s="15">
        <f t="shared" si="14"/>
        <v>50.763777803015756</v>
      </c>
      <c r="N82" s="15">
        <f t="shared" si="20"/>
        <v>839.80181830134461</v>
      </c>
    </row>
    <row r="83" spans="1:18">
      <c r="A83" s="38">
        <f t="shared" si="10"/>
        <v>47119</v>
      </c>
      <c r="B83" s="15">
        <f t="shared" si="21"/>
        <v>0.99946403428221609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54.734637798728158</v>
      </c>
      <c r="J83" s="39">
        <f t="shared" si="23"/>
        <v>1014.5081444288361</v>
      </c>
      <c r="K83" s="15">
        <f t="shared" si="18"/>
        <v>54.734637798728158</v>
      </c>
      <c r="L83" s="39">
        <f t="shared" si="19"/>
        <v>1014.5081444288361</v>
      </c>
      <c r="M83" s="15">
        <f t="shared" si="14"/>
        <v>47.892808073887139</v>
      </c>
      <c r="N83" s="15">
        <f t="shared" si="20"/>
        <v>887.69462637523179</v>
      </c>
    </row>
    <row r="84" spans="1:18">
      <c r="A84" s="38">
        <f t="shared" si="10"/>
        <v>47484</v>
      </c>
      <c r="B84" s="15">
        <f t="shared" si="21"/>
        <v>0.99946403428221609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51.784537657498163</v>
      </c>
      <c r="J84" s="39">
        <f t="shared" si="23"/>
        <v>1066.2926820863343</v>
      </c>
      <c r="K84" s="15">
        <f t="shared" si="18"/>
        <v>51.784537657498163</v>
      </c>
      <c r="L84" s="39">
        <f t="shared" si="19"/>
        <v>1066.2926820863343</v>
      </c>
      <c r="M84" s="15">
        <f t="shared" si="14"/>
        <v>45.311470450310892</v>
      </c>
      <c r="N84" s="15">
        <f t="shared" si="20"/>
        <v>933.00609682554273</v>
      </c>
    </row>
    <row r="85" spans="1:18">
      <c r="A85" s="38">
        <f t="shared" si="10"/>
        <v>47849</v>
      </c>
      <c r="B85" s="15">
        <f>IF(E64=0,0,B84)</f>
        <v>0.99946403428221609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368.97732062070372</v>
      </c>
      <c r="J85" s="39">
        <f>IF(E64=0,J84,IF(E$6=1,(E$4)/(E$5/365)*LN((E$4)/E7)/1000,(E$4)^E$6*((E$4)^(1-E$6)-E7^(1-E$6))/((1-E$6)*E$5/365)/1000))</f>
        <v>1435.270002707038</v>
      </c>
      <c r="K85" s="15">
        <f t="shared" si="18"/>
        <v>368.97732062070372</v>
      </c>
      <c r="L85" s="39">
        <f t="shared" si="19"/>
        <v>1435.270002707038</v>
      </c>
      <c r="M85" s="15">
        <f t="shared" si="14"/>
        <v>322.85515554311576</v>
      </c>
      <c r="N85" s="15">
        <f t="shared" si="20"/>
        <v>1255.8612523686584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669.85528925619838</v>
      </c>
      <c r="N92" s="41">
        <f t="shared" ref="N92:N107" si="24">L92-M92</f>
        <v>-669.85528925619838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518.68360283109268</v>
      </c>
      <c r="I93" s="41">
        <f t="shared" ref="I93:I107" si="28">E71*K50*E$27+E71*(K50-E$14)*G$27+K71*L50*E$27+K71*(L50-E$15)*G$27+D93*M50*(E$27+G$27)/1000</f>
        <v>64.835450353886586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146.61618294545335</v>
      </c>
      <c r="L93" s="41">
        <f t="shared" ref="L93:L107" si="30">H93+J93-I93-K93</f>
        <v>307.23196953175272</v>
      </c>
      <c r="M93" s="41">
        <f t="shared" ref="M93:M105" si="31">IF(B72&lt;B71,E$25*(1+E$22/365)^(A50-A$50),0)</f>
        <v>0</v>
      </c>
      <c r="N93" s="41">
        <f t="shared" si="24"/>
        <v>307.23196953175272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453.07185134937362</v>
      </c>
      <c r="I94" s="41">
        <f t="shared" si="28"/>
        <v>56.633981418671702</v>
      </c>
      <c r="J94" s="41">
        <f t="shared" si="29"/>
        <v>0</v>
      </c>
      <c r="K94" s="41">
        <f>IF(H94=0,0,((B72*E$16+E$19)*12+E72*(E$17+E$20)+K72*(E$18+E$21))*(1+E$22)^((A51-A$50)/365))</f>
        <v>148.08525012932677</v>
      </c>
      <c r="L94" s="41">
        <f t="shared" si="30"/>
        <v>248.35261980137517</v>
      </c>
      <c r="M94" s="41">
        <f t="shared" si="31"/>
        <v>0</v>
      </c>
      <c r="N94" s="41">
        <f t="shared" si="24"/>
        <v>248.35261980137517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433.3402444376959</v>
      </c>
      <c r="I95" s="41">
        <f t="shared" si="28"/>
        <v>54.167530554711988</v>
      </c>
      <c r="J95" s="41">
        <f t="shared" si="29"/>
        <v>0</v>
      </c>
      <c r="K95" s="41">
        <f t="shared" ref="K95:K107" si="32">IF(H95=0,0,((B73*E$16+E$19)*12+E73*(E$17+E$20)+K73*(E$18+E$21))*(1+E$22)^((A52-A$50)/365))</f>
        <v>149.63487780130336</v>
      </c>
      <c r="L95" s="41">
        <f t="shared" si="30"/>
        <v>229.53783608168052</v>
      </c>
      <c r="M95" s="41">
        <f t="shared" si="31"/>
        <v>0</v>
      </c>
      <c r="N95" s="41">
        <f t="shared" si="24"/>
        <v>229.53783608168052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434.62855745353284</v>
      </c>
      <c r="I96" s="41">
        <f t="shared" si="28"/>
        <v>54.328569681691604</v>
      </c>
      <c r="J96" s="41">
        <f t="shared" si="29"/>
        <v>0</v>
      </c>
      <c r="K96" s="41">
        <f t="shared" si="32"/>
        <v>151.32861763120906</v>
      </c>
      <c r="L96" s="41">
        <f t="shared" si="30"/>
        <v>228.97137014063219</v>
      </c>
      <c r="M96" s="41">
        <f t="shared" si="31"/>
        <v>0</v>
      </c>
      <c r="N96" s="41">
        <f t="shared" si="24"/>
        <v>228.97137014063219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422.87883121495298</v>
      </c>
      <c r="I97" s="41">
        <f t="shared" si="28"/>
        <v>52.859853901869123</v>
      </c>
      <c r="J97" s="41">
        <f t="shared" si="29"/>
        <v>0</v>
      </c>
      <c r="K97" s="41">
        <f t="shared" si="32"/>
        <v>152.97995412749921</v>
      </c>
      <c r="L97" s="41">
        <f t="shared" si="30"/>
        <v>217.03902318558463</v>
      </c>
      <c r="M97" s="41">
        <f t="shared" si="31"/>
        <v>0</v>
      </c>
      <c r="N97" s="41">
        <f t="shared" si="24"/>
        <v>217.03902318558463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412.05990154561664</v>
      </c>
      <c r="I98" s="41">
        <f t="shared" si="28"/>
        <v>51.50748769320208</v>
      </c>
      <c r="J98" s="41">
        <f t="shared" si="29"/>
        <v>0</v>
      </c>
      <c r="K98" s="41">
        <f t="shared" si="32"/>
        <v>154.77064502590821</v>
      </c>
      <c r="L98" s="41">
        <f t="shared" si="30"/>
        <v>205.78176882650638</v>
      </c>
      <c r="M98" s="41">
        <f t="shared" si="31"/>
        <v>0</v>
      </c>
      <c r="N98" s="41">
        <f t="shared" si="24"/>
        <v>205.78176882650638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401.21713077451636</v>
      </c>
      <c r="I99" s="41">
        <f t="shared" si="28"/>
        <v>50.152141346814545</v>
      </c>
      <c r="J99" s="41">
        <f t="shared" si="29"/>
        <v>0</v>
      </c>
      <c r="K99" s="41">
        <f t="shared" si="32"/>
        <v>156.64153132290818</v>
      </c>
      <c r="L99" s="41">
        <f t="shared" si="30"/>
        <v>194.42345810479361</v>
      </c>
      <c r="M99" s="41">
        <f t="shared" si="31"/>
        <v>0</v>
      </c>
      <c r="N99" s="41">
        <f t="shared" si="24"/>
        <v>194.42345810479361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390.53074825705443</v>
      </c>
      <c r="I100" s="41">
        <f t="shared" si="28"/>
        <v>48.816343532131803</v>
      </c>
      <c r="J100" s="41">
        <f t="shared" si="29"/>
        <v>0</v>
      </c>
      <c r="K100" s="41">
        <f t="shared" si="32"/>
        <v>158.64793051533701</v>
      </c>
      <c r="L100" s="41">
        <f t="shared" si="30"/>
        <v>183.06647420958564</v>
      </c>
      <c r="M100" s="41">
        <f t="shared" si="31"/>
        <v>0</v>
      </c>
      <c r="N100" s="41">
        <f t="shared" si="24"/>
        <v>183.06647420958564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374.89835454618571</v>
      </c>
      <c r="I101" s="41">
        <f t="shared" si="28"/>
        <v>46.862294318273214</v>
      </c>
      <c r="J101" s="41">
        <f t="shared" si="29"/>
        <v>0</v>
      </c>
      <c r="K101" s="41">
        <f t="shared" si="32"/>
        <v>160.62982810456549</v>
      </c>
      <c r="L101" s="41">
        <f t="shared" si="30"/>
        <v>167.40623212334702</v>
      </c>
      <c r="M101" s="41">
        <f t="shared" si="31"/>
        <v>0</v>
      </c>
      <c r="N101" s="41">
        <f t="shared" si="24"/>
        <v>167.40623212334702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362.06373555748627</v>
      </c>
      <c r="I102" s="41">
        <f t="shared" si="28"/>
        <v>45.257966944685784</v>
      </c>
      <c r="J102" s="41">
        <f t="shared" si="29"/>
        <v>0</v>
      </c>
      <c r="K102" s="41">
        <f t="shared" si="32"/>
        <v>162.74205162389214</v>
      </c>
      <c r="L102" s="41">
        <f t="shared" si="30"/>
        <v>154.06371698890834</v>
      </c>
      <c r="M102" s="41">
        <f t="shared" si="31"/>
        <v>0</v>
      </c>
      <c r="N102" s="41">
        <f t="shared" si="24"/>
        <v>154.06371698890834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349.5839024507257</v>
      </c>
      <c r="I103" s="41">
        <f t="shared" si="28"/>
        <v>43.697987806340713</v>
      </c>
      <c r="J103" s="41">
        <f t="shared" si="29"/>
        <v>0</v>
      </c>
      <c r="K103" s="41">
        <f t="shared" si="32"/>
        <v>164.93500647618754</v>
      </c>
      <c r="L103" s="41">
        <f t="shared" si="30"/>
        <v>140.95090816819743</v>
      </c>
      <c r="M103" s="41">
        <f t="shared" si="31"/>
        <v>0</v>
      </c>
      <c r="N103" s="41">
        <f t="shared" si="24"/>
        <v>140.95090816819743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338.39420276755925</v>
      </c>
      <c r="I104" s="41">
        <f t="shared" si="28"/>
        <v>42.299275345944906</v>
      </c>
      <c r="J104" s="41">
        <f t="shared" si="29"/>
        <v>0</v>
      </c>
      <c r="K104" s="41">
        <f t="shared" si="32"/>
        <v>167.25688669074827</v>
      </c>
      <c r="L104" s="41">
        <f t="shared" si="30"/>
        <v>128.83804073086606</v>
      </c>
      <c r="M104" s="41">
        <f t="shared" si="31"/>
        <v>0</v>
      </c>
      <c r="N104" s="41">
        <f t="shared" si="24"/>
        <v>128.83804073086606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324.89508662145778</v>
      </c>
      <c r="I105" s="41">
        <f t="shared" si="28"/>
        <v>40.611885827682222</v>
      </c>
      <c r="J105" s="41">
        <f t="shared" si="29"/>
        <v>0</v>
      </c>
      <c r="K105" s="41">
        <f t="shared" si="32"/>
        <v>169.5708014857282</v>
      </c>
      <c r="L105" s="41">
        <f t="shared" si="30"/>
        <v>114.71239930804737</v>
      </c>
      <c r="M105" s="41">
        <f t="shared" si="31"/>
        <v>0</v>
      </c>
      <c r="N105" s="41">
        <f t="shared" si="24"/>
        <v>114.71239930804737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313.60732806031854</v>
      </c>
      <c r="I106" s="41">
        <f t="shared" si="28"/>
        <v>39.200916007539817</v>
      </c>
      <c r="J106" s="41">
        <f t="shared" si="29"/>
        <v>0</v>
      </c>
      <c r="K106" s="41">
        <f t="shared" si="32"/>
        <v>172.00799494175598</v>
      </c>
      <c r="L106" s="41">
        <f t="shared" si="30"/>
        <v>102.39841711102272</v>
      </c>
      <c r="M106" s="41">
        <f>IF(B85&lt;B84,E$25*(1+E$22/365)^(A63-A$50),0)</f>
        <v>0</v>
      </c>
      <c r="N106" s="41">
        <f t="shared" si="24"/>
        <v>102.39841711102272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2279.5313829744159</v>
      </c>
      <c r="I107" s="41">
        <f t="shared" si="28"/>
        <v>284.94142287180199</v>
      </c>
      <c r="J107" s="41">
        <f t="shared" si="29"/>
        <v>0</v>
      </c>
      <c r="K107" s="41">
        <f t="shared" si="32"/>
        <v>280.09747154466021</v>
      </c>
      <c r="L107" s="41">
        <f t="shared" si="30"/>
        <v>1714.4924885579537</v>
      </c>
      <c r="M107" s="41">
        <f>IF(B86&lt;B85,E$25*(1+E$22/365)^(A64-A$50),0)</f>
        <v>112.48365976884219</v>
      </c>
      <c r="N107" s="41">
        <f t="shared" si="24"/>
        <v>1602.0088287891115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8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509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75">
        <f>'Sil Gu gas'!I47</f>
        <v>749.5980257116621</v>
      </c>
      <c r="F4" s="14" t="s">
        <v>212</v>
      </c>
      <c r="G4" s="15"/>
    </row>
    <row r="5" spans="1:21" ht="15.75">
      <c r="A5" s="14" t="s">
        <v>184</v>
      </c>
      <c r="B5" s="14"/>
      <c r="E5" s="26">
        <f>'Sil Gu gas'!I48</f>
        <v>0.16978220036470359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'Sil Gu gas'!I49</f>
        <v>81.972548514251244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75">
        <f>'Sil Gu gas'!G43</f>
        <v>0.99946403428221609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84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84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Gu gas'!I55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84">
        <f>'Sil Gu gas'!I54</f>
        <v>0.25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'Sil Gu gas'!I45</f>
        <v>989.68378022650745</v>
      </c>
      <c r="F24" s="12" t="s">
        <v>195</v>
      </c>
    </row>
    <row r="25" spans="1:21">
      <c r="B25" s="12" t="s">
        <v>193</v>
      </c>
      <c r="E25" s="42">
        <f>'Sil Gu gas'!I56+'Sil Gu gas'!I57</f>
        <v>95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2834.2648361498032</v>
      </c>
      <c r="D32" s="12" t="s">
        <v>58</v>
      </c>
      <c r="E32" s="84">
        <f>C32/E$24</f>
        <v>2.8638085141711924</v>
      </c>
    </row>
    <row r="33" spans="1:19">
      <c r="A33" s="26">
        <v>0.05</v>
      </c>
      <c r="B33" s="12" t="s">
        <v>128</v>
      </c>
      <c r="C33" s="29">
        <f t="shared" ref="C33:C37" si="0">NPV(A33,N$92:N$107)</f>
        <v>2156.6522979711181</v>
      </c>
      <c r="D33" s="12" t="s">
        <v>58</v>
      </c>
      <c r="E33" s="84">
        <f t="shared" ref="E33:E37" si="1">C33/E$24</f>
        <v>2.1791327099222828</v>
      </c>
    </row>
    <row r="34" spans="1:19">
      <c r="A34" s="26">
        <v>0.1</v>
      </c>
      <c r="B34" s="12" t="s">
        <v>128</v>
      </c>
      <c r="C34" s="29">
        <f t="shared" si="0"/>
        <v>1648.8680117685583</v>
      </c>
      <c r="D34" s="12" t="s">
        <v>58</v>
      </c>
      <c r="E34" s="84">
        <f t="shared" si="1"/>
        <v>1.666055405486371</v>
      </c>
    </row>
    <row r="35" spans="1:19">
      <c r="A35" s="26">
        <v>0.125</v>
      </c>
      <c r="B35" s="12" t="s">
        <v>128</v>
      </c>
      <c r="C35" s="29">
        <f t="shared" si="0"/>
        <v>1444.6021461897481</v>
      </c>
      <c r="D35" s="12" t="s">
        <v>58</v>
      </c>
      <c r="E35" s="84">
        <f t="shared" si="1"/>
        <v>1.4596603228751754</v>
      </c>
      <c r="F35" s="14"/>
    </row>
    <row r="36" spans="1:19">
      <c r="A36" s="26">
        <v>0.15</v>
      </c>
      <c r="B36" s="12" t="s">
        <v>128</v>
      </c>
      <c r="C36" s="29">
        <f t="shared" si="0"/>
        <v>1267.0762642967961</v>
      </c>
      <c r="D36" s="12" t="s">
        <v>58</v>
      </c>
      <c r="E36" s="84">
        <f t="shared" si="1"/>
        <v>1.2802839549485212</v>
      </c>
      <c r="F36" s="14"/>
    </row>
    <row r="37" spans="1:19">
      <c r="A37" s="26">
        <v>0.2</v>
      </c>
      <c r="B37" s="12" t="s">
        <v>128</v>
      </c>
      <c r="C37" s="29">
        <f t="shared" si="0"/>
        <v>977.05330341049137</v>
      </c>
      <c r="D37" s="12" t="s">
        <v>58</v>
      </c>
      <c r="E37" s="84">
        <f t="shared" si="1"/>
        <v>0.98723786620699661</v>
      </c>
      <c r="F37" s="14"/>
    </row>
    <row r="38" spans="1:19">
      <c r="A38" s="12" t="s">
        <v>197</v>
      </c>
      <c r="C38" s="25">
        <f>IF(SUM(N92:N107)&lt;0,0,IRR(N92:N107))</f>
        <v>0.68188866927876779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1435.2700027070377</v>
      </c>
      <c r="I41" s="14" t="s">
        <v>135</v>
      </c>
      <c r="J41" s="33">
        <f>C107</f>
        <v>0</v>
      </c>
      <c r="K41" s="14" t="s">
        <v>136</v>
      </c>
      <c r="L41" s="33">
        <f>F41+H41/E$42+J41</f>
        <v>239.21166711783962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749.5980257116621</v>
      </c>
      <c r="F50" s="18">
        <f>E50*E$11</f>
        <v>749.5980257116621</v>
      </c>
      <c r="G50" s="35">
        <f>F50*(1-$E$27)</f>
        <v>655.89827249770428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632.54723443812748</v>
      </c>
      <c r="F51" s="18">
        <f t="shared" ref="F51:F64" si="7">E51*E$11</f>
        <v>632.54723443812748</v>
      </c>
      <c r="G51" s="35">
        <f t="shared" ref="G51:G64" si="8">F51*(1-$E$27)</f>
        <v>553.4788301333615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533.77408967353756</v>
      </c>
      <c r="F52" s="18">
        <f t="shared" si="7"/>
        <v>533.77408967353756</v>
      </c>
      <c r="G52" s="35">
        <f t="shared" si="8"/>
        <v>467.05232846434535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450.42451108002211</v>
      </c>
      <c r="F53" s="18">
        <f t="shared" si="7"/>
        <v>450.42451108002211</v>
      </c>
      <c r="G53" s="35">
        <f t="shared" si="8"/>
        <v>394.12144719501936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379.91332665689919</v>
      </c>
      <c r="F54" s="18">
        <f t="shared" si="7"/>
        <v>379.91332665689919</v>
      </c>
      <c r="G54" s="35">
        <f t="shared" si="8"/>
        <v>332.42416082478678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320.58932369099995</v>
      </c>
      <c r="F55" s="18">
        <f t="shared" si="7"/>
        <v>320.58932369099995</v>
      </c>
      <c r="G55" s="35">
        <f t="shared" si="8"/>
        <v>280.51565822962493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270.52884764285034</v>
      </c>
      <c r="F56" s="18">
        <f t="shared" si="7"/>
        <v>270.52884764285034</v>
      </c>
      <c r="G56" s="35">
        <f t="shared" si="8"/>
        <v>236.71274168749403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228.28538569022581</v>
      </c>
      <c r="F57" s="18">
        <f t="shared" si="7"/>
        <v>228.28538569022581</v>
      </c>
      <c r="G57" s="35">
        <f t="shared" si="8"/>
        <v>199.74971247894757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192.54871387165431</v>
      </c>
      <c r="F58" s="18">
        <f t="shared" si="7"/>
        <v>192.54871387165431</v>
      </c>
      <c r="G58" s="35">
        <f t="shared" si="8"/>
        <v>168.48012463769751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162.48196003251343</v>
      </c>
      <c r="F59" s="18">
        <f t="shared" si="7"/>
        <v>162.48196003251343</v>
      </c>
      <c r="G59" s="35">
        <f t="shared" si="8"/>
        <v>142.17171502844926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137.11017230478512</v>
      </c>
      <c r="F60" s="18">
        <f t="shared" si="7"/>
        <v>137.11017230478512</v>
      </c>
      <c r="G60" s="35">
        <f t="shared" si="8"/>
        <v>119.97140076668698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115.70022509382613</v>
      </c>
      <c r="F61" s="18">
        <f t="shared" si="7"/>
        <v>115.70022509382613</v>
      </c>
      <c r="G61" s="35">
        <f t="shared" si="8"/>
        <v>101.23769695709787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97.58806709908005</v>
      </c>
      <c r="F62" s="18">
        <f t="shared" si="7"/>
        <v>97.58806709908005</v>
      </c>
      <c r="G62" s="35">
        <f t="shared" si="8"/>
        <v>85.389558711695045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82.349552480585118</v>
      </c>
      <c r="F63" s="18">
        <f t="shared" si="7"/>
        <v>82.349552480585118</v>
      </c>
      <c r="G63" s="35">
        <f t="shared" si="8"/>
        <v>72.055858420511981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81.972548514251244</v>
      </c>
      <c r="F64" s="18">
        <f t="shared" si="7"/>
        <v>81.972548514251244</v>
      </c>
      <c r="G64" s="35">
        <f t="shared" si="8"/>
        <v>71.72597994996984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0.99946403428221609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251.63732548563453</v>
      </c>
      <c r="J71" s="39">
        <f>IF(E51=0,0,IF(E$6=1,(E$4)/(E$5/365)*LN((E$4)/E51)/1000,(E$4)^E$6*((E$4)^(1-E$6)-E51^(1-E$6))/((1-E$6)*E$5/365)/1000))</f>
        <v>251.63732548563453</v>
      </c>
      <c r="K71" s="15">
        <f>I71*E$11</f>
        <v>251.63732548563453</v>
      </c>
      <c r="L71" s="39">
        <f>J71*E$11</f>
        <v>251.63732548563453</v>
      </c>
      <c r="M71" s="15">
        <f t="shared" ref="M71:M85" si="14">IF(K71=0,0,(H93-I93)/H93*K71)</f>
        <v>220.18265979993021</v>
      </c>
      <c r="N71" s="15">
        <f>M71</f>
        <v>220.18265979993021</v>
      </c>
    </row>
    <row r="72" spans="1:14">
      <c r="A72" s="38">
        <f t="shared" si="10"/>
        <v>43101</v>
      </c>
      <c r="B72" s="15">
        <f>IF(E52=0,0,B71)</f>
        <v>0.99946403428221609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212.34380142107224</v>
      </c>
      <c r="J72" s="39">
        <f>IF(E52=0,J71,IF(E$6=1,(E$4)/(E$5/365)*LN((E$4)/E52)/1000,(E$4)^E$6*((E$4)^(1-E$6)-E52^(1-E$6))/((1-E$6)*E$5/365)/1000))</f>
        <v>463.98112690670678</v>
      </c>
      <c r="K72" s="15">
        <f t="shared" ref="K72:K85" si="18">I72*E$11</f>
        <v>212.34380142107224</v>
      </c>
      <c r="L72" s="39">
        <f t="shared" ref="L72:L85" si="19">J72*E$11</f>
        <v>463.98112690670678</v>
      </c>
      <c r="M72" s="15">
        <f t="shared" si="14"/>
        <v>185.80082624343822</v>
      </c>
      <c r="N72" s="15">
        <f t="shared" ref="N72:N85" si="20">M72+N71</f>
        <v>405.98348604336843</v>
      </c>
    </row>
    <row r="73" spans="1:14">
      <c r="A73" s="38">
        <f t="shared" si="10"/>
        <v>43466</v>
      </c>
      <c r="B73" s="15">
        <f t="shared" ref="B73:B84" si="21">IF(E53=0,0,B72)</f>
        <v>0.99946403428221609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179.1860166806847</v>
      </c>
      <c r="J73" s="39">
        <f t="shared" ref="J73:J84" si="23">IF(E53=0,J72,IF(E$6=1,(E$4)/(E$5/365)*LN((E$4)/E53)/1000,(E$4)^E$6*((E$4)^(1-E$6)-E53^(1-E$6))/((1-E$6)*E$5/365)/1000))</f>
        <v>643.16714358739148</v>
      </c>
      <c r="K73" s="15">
        <f t="shared" si="18"/>
        <v>179.1860166806847</v>
      </c>
      <c r="L73" s="39">
        <f t="shared" si="19"/>
        <v>643.16714358739148</v>
      </c>
      <c r="M73" s="15">
        <f t="shared" si="14"/>
        <v>156.78776459559913</v>
      </c>
      <c r="N73" s="15">
        <f t="shared" si="20"/>
        <v>562.77125063896756</v>
      </c>
    </row>
    <row r="74" spans="1:14">
      <c r="A74" s="38">
        <f t="shared" si="10"/>
        <v>43831</v>
      </c>
      <c r="B74" s="15">
        <f t="shared" si="21"/>
        <v>0.99946403428221609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151.58586859609522</v>
      </c>
      <c r="J74" s="39">
        <f t="shared" si="23"/>
        <v>794.7530121834867</v>
      </c>
      <c r="K74" s="15">
        <f t="shared" si="18"/>
        <v>151.58586859609522</v>
      </c>
      <c r="L74" s="39">
        <f t="shared" si="19"/>
        <v>794.7530121834867</v>
      </c>
      <c r="M74" s="15">
        <f t="shared" si="14"/>
        <v>132.63763502158332</v>
      </c>
      <c r="N74" s="15">
        <f t="shared" si="20"/>
        <v>695.40888566055082</v>
      </c>
    </row>
    <row r="75" spans="1:14">
      <c r="A75" s="38">
        <f t="shared" si="10"/>
        <v>44197</v>
      </c>
      <c r="B75" s="15">
        <f t="shared" si="21"/>
        <v>0.99946403428221609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127.53551924783972</v>
      </c>
      <c r="J75" s="39">
        <f t="shared" si="23"/>
        <v>922.28853143132642</v>
      </c>
      <c r="K75" s="15">
        <f t="shared" si="18"/>
        <v>127.53551924783972</v>
      </c>
      <c r="L75" s="39">
        <f t="shared" si="19"/>
        <v>922.28853143132642</v>
      </c>
      <c r="M75" s="15">
        <f t="shared" si="14"/>
        <v>111.59357934185977</v>
      </c>
      <c r="N75" s="15">
        <f t="shared" si="20"/>
        <v>807.00246500241064</v>
      </c>
    </row>
    <row r="76" spans="1:14">
      <c r="A76" s="38">
        <f t="shared" si="10"/>
        <v>44562</v>
      </c>
      <c r="B76" s="15">
        <f t="shared" si="21"/>
        <v>0.99946403428221609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107.62066764551855</v>
      </c>
      <c r="J76" s="39">
        <f t="shared" si="23"/>
        <v>1029.909199076845</v>
      </c>
      <c r="K76" s="15">
        <f t="shared" si="18"/>
        <v>107.62066764551855</v>
      </c>
      <c r="L76" s="39">
        <f t="shared" si="19"/>
        <v>1029.909199076845</v>
      </c>
      <c r="M76" s="15">
        <f t="shared" si="14"/>
        <v>94.168084189828733</v>
      </c>
      <c r="N76" s="15">
        <f t="shared" si="20"/>
        <v>901.17054919223938</v>
      </c>
    </row>
    <row r="77" spans="1:14">
      <c r="A77" s="38">
        <f t="shared" si="10"/>
        <v>44927</v>
      </c>
      <c r="B77" s="15">
        <f t="shared" si="21"/>
        <v>0.99946403428221609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90.815548270591307</v>
      </c>
      <c r="J77" s="39">
        <f t="shared" si="23"/>
        <v>1120.7247473474363</v>
      </c>
      <c r="K77" s="15">
        <f t="shared" si="18"/>
        <v>90.815548270591307</v>
      </c>
      <c r="L77" s="39">
        <f t="shared" si="19"/>
        <v>1120.7247473474363</v>
      </c>
      <c r="M77" s="15">
        <f t="shared" si="14"/>
        <v>79.463604736767394</v>
      </c>
      <c r="N77" s="15">
        <f t="shared" si="20"/>
        <v>980.63415392900674</v>
      </c>
    </row>
    <row r="78" spans="1:14">
      <c r="A78" s="38">
        <f t="shared" si="10"/>
        <v>45292</v>
      </c>
      <c r="B78" s="15">
        <f t="shared" si="21"/>
        <v>0.99946403428221609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76.827165543616957</v>
      </c>
      <c r="J78" s="39">
        <f t="shared" si="23"/>
        <v>1197.5519128910532</v>
      </c>
      <c r="K78" s="15">
        <f t="shared" si="18"/>
        <v>76.827165543616957</v>
      </c>
      <c r="L78" s="39">
        <f t="shared" si="19"/>
        <v>1197.5519128910532</v>
      </c>
      <c r="M78" s="15">
        <f t="shared" si="14"/>
        <v>67.223769850664837</v>
      </c>
      <c r="N78" s="15">
        <f t="shared" si="20"/>
        <v>1047.8579237796716</v>
      </c>
    </row>
    <row r="79" spans="1:14">
      <c r="A79" s="38">
        <f t="shared" si="10"/>
        <v>45658</v>
      </c>
      <c r="B79" s="15">
        <f t="shared" si="21"/>
        <v>0.99946403428221609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64.637901545113209</v>
      </c>
      <c r="J79" s="39">
        <f t="shared" si="23"/>
        <v>1262.1898144361664</v>
      </c>
      <c r="K79" s="15">
        <f t="shared" si="18"/>
        <v>64.637901545113209</v>
      </c>
      <c r="L79" s="39">
        <f t="shared" si="19"/>
        <v>1262.1898144361664</v>
      </c>
      <c r="M79" s="15">
        <f t="shared" si="14"/>
        <v>56.558163851974058</v>
      </c>
      <c r="N79" s="15">
        <f t="shared" si="20"/>
        <v>1104.4160876316457</v>
      </c>
    </row>
    <row r="80" spans="1:14">
      <c r="A80" s="38">
        <f t="shared" si="10"/>
        <v>46023</v>
      </c>
      <c r="B80" s="15">
        <f t="shared" si="21"/>
        <v>0.99946403428221609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54.54460185301059</v>
      </c>
      <c r="J80" s="39">
        <f t="shared" si="23"/>
        <v>1316.734416289177</v>
      </c>
      <c r="K80" s="15">
        <f t="shared" si="18"/>
        <v>54.54460185301059</v>
      </c>
      <c r="L80" s="39">
        <f t="shared" si="19"/>
        <v>1316.734416289177</v>
      </c>
      <c r="M80" s="15">
        <f t="shared" si="14"/>
        <v>47.726526621384266</v>
      </c>
      <c r="N80" s="15">
        <f t="shared" si="20"/>
        <v>1152.1426142530299</v>
      </c>
    </row>
    <row r="81" spans="1:18">
      <c r="A81" s="38">
        <f t="shared" si="10"/>
        <v>46388</v>
      </c>
      <c r="B81" s="15">
        <f t="shared" si="21"/>
        <v>0.99946403428221609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46.027385174733809</v>
      </c>
      <c r="J81" s="39">
        <f t="shared" si="23"/>
        <v>1362.7618014639108</v>
      </c>
      <c r="K81" s="15">
        <f t="shared" si="18"/>
        <v>46.027385174733809</v>
      </c>
      <c r="L81" s="39">
        <f t="shared" si="19"/>
        <v>1362.7618014639108</v>
      </c>
      <c r="M81" s="15">
        <f t="shared" si="14"/>
        <v>40.273962027892082</v>
      </c>
      <c r="N81" s="15">
        <f t="shared" si="20"/>
        <v>1192.4165762809221</v>
      </c>
    </row>
    <row r="82" spans="1:18">
      <c r="A82" s="38">
        <f t="shared" si="10"/>
        <v>46753</v>
      </c>
      <c r="B82" s="15">
        <f t="shared" si="21"/>
        <v>0.99946403428221609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38.937754687367487</v>
      </c>
      <c r="J82" s="39">
        <f t="shared" si="23"/>
        <v>1401.6995561512783</v>
      </c>
      <c r="K82" s="15">
        <f t="shared" si="18"/>
        <v>38.937754687367487</v>
      </c>
      <c r="L82" s="39">
        <f t="shared" si="19"/>
        <v>1401.6995561512783</v>
      </c>
      <c r="M82" s="15">
        <f t="shared" si="14"/>
        <v>34.070535351446544</v>
      </c>
      <c r="N82" s="15">
        <f t="shared" si="20"/>
        <v>1226.4871116323686</v>
      </c>
    </row>
    <row r="83" spans="1:18">
      <c r="A83" s="38">
        <f t="shared" si="10"/>
        <v>47119</v>
      </c>
      <c r="B83" s="15">
        <f t="shared" si="21"/>
        <v>0.99946403428221609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32.75995848683192</v>
      </c>
      <c r="J83" s="39">
        <f t="shared" si="23"/>
        <v>1434.4595146381102</v>
      </c>
      <c r="K83" s="15">
        <f t="shared" si="18"/>
        <v>32.75995848683192</v>
      </c>
      <c r="L83" s="39">
        <f t="shared" si="19"/>
        <v>1434.4595146381102</v>
      </c>
      <c r="M83" s="15">
        <f t="shared" si="14"/>
        <v>28.66496367597793</v>
      </c>
      <c r="N83" s="15">
        <f t="shared" si="20"/>
        <v>1255.1520753083466</v>
      </c>
    </row>
    <row r="84" spans="1:18">
      <c r="A84" s="38">
        <f t="shared" si="10"/>
        <v>47484</v>
      </c>
      <c r="B84" s="15">
        <f t="shared" si="21"/>
        <v>0.99946403428221609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0.81048806892749781</v>
      </c>
      <c r="J84" s="39">
        <f t="shared" si="23"/>
        <v>1435.2700027070377</v>
      </c>
      <c r="K84" s="15">
        <f t="shared" si="18"/>
        <v>0.81048806892749781</v>
      </c>
      <c r="L84" s="39">
        <f t="shared" si="19"/>
        <v>1435.2700027070377</v>
      </c>
      <c r="M84" s="15">
        <f t="shared" si="14"/>
        <v>0.70917706031156058</v>
      </c>
      <c r="N84" s="15">
        <f t="shared" si="20"/>
        <v>1255.8612523686581</v>
      </c>
    </row>
    <row r="85" spans="1:18">
      <c r="A85" s="38">
        <f t="shared" si="10"/>
        <v>47849</v>
      </c>
      <c r="B85" s="15">
        <f>IF(E64=0,0,B84)</f>
        <v>0.99946403428221609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0</v>
      </c>
      <c r="J85" s="39">
        <f>IF(E64=0,J84,IF(E$6=1,(E$4)/(E$5/365)*LN((E$4)/E7)/1000,(E$4)^E$6*((E$4)^(1-E$6)-E7^(1-E$6))/((1-E$6)*E$5/365)/1000))</f>
        <v>1435.2700027070377</v>
      </c>
      <c r="K85" s="15">
        <f t="shared" si="18"/>
        <v>0</v>
      </c>
      <c r="L85" s="39">
        <f t="shared" si="19"/>
        <v>1435.2700027070377</v>
      </c>
      <c r="M85" s="15">
        <f t="shared" si="14"/>
        <v>0</v>
      </c>
      <c r="N85" s="15">
        <f t="shared" si="20"/>
        <v>1255.8612523686581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989.68378022650745</v>
      </c>
      <c r="N92" s="41">
        <f t="shared" ref="N92:N107" si="24">L92-M92</f>
        <v>-989.68378022650745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1225.9473386656775</v>
      </c>
      <c r="I93" s="41">
        <f t="shared" ref="I93:I107" si="28">E71*K50*E$27+E71*(K50-E$14)*G$27+K71*L50*E$27+K71*(L50-E$15)*G$27+D93*M50*(E$27+G$27)/1000</f>
        <v>153.24341733320969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182.90933137140863</v>
      </c>
      <c r="L93" s="41">
        <f t="shared" ref="L93:L107" si="30">H93+J93-I93-K93</f>
        <v>889.79458996105927</v>
      </c>
      <c r="M93" s="41">
        <f t="shared" ref="M93:M105" si="31">IF(B72&lt;B71,E$25*(1+E$22/365)^(A50-A$50),0)</f>
        <v>0</v>
      </c>
      <c r="N93" s="41">
        <f t="shared" si="24"/>
        <v>889.79458996105927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955.13123994277782</v>
      </c>
      <c r="I94" s="41">
        <f t="shared" si="28"/>
        <v>119.39140499284723</v>
      </c>
      <c r="J94" s="41">
        <f t="shared" si="29"/>
        <v>0</v>
      </c>
      <c r="K94" s="41">
        <f>IF(H94=0,0,((B72*E$16+E$19)*12+E72*(E$17+E$20)+K72*(E$18+E$21))*(1+E$22)^((A51-A$50)/365))</f>
        <v>176.54766936237343</v>
      </c>
      <c r="L94" s="41">
        <f t="shared" si="30"/>
        <v>659.19216558755716</v>
      </c>
      <c r="M94" s="41">
        <f t="shared" si="31"/>
        <v>0</v>
      </c>
      <c r="N94" s="41">
        <f t="shared" si="24"/>
        <v>659.19216558755716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814.80121065926846</v>
      </c>
      <c r="I95" s="41">
        <f t="shared" si="28"/>
        <v>101.85015133240856</v>
      </c>
      <c r="J95" s="41">
        <f t="shared" si="29"/>
        <v>0</v>
      </c>
      <c r="K95" s="41">
        <f t="shared" ref="K95:K107" si="32">IF(H95=0,0,((B73*E$16+E$19)*12+E73*(E$17+E$20)+K73*(E$18+E$21))*(1+E$22)^((A52-A$50)/365))</f>
        <v>171.45428293864609</v>
      </c>
      <c r="L95" s="41">
        <f t="shared" si="30"/>
        <v>541.49677638821379</v>
      </c>
      <c r="M95" s="41">
        <f t="shared" si="31"/>
        <v>0</v>
      </c>
      <c r="N95" s="41">
        <f t="shared" si="24"/>
        <v>541.49677638821379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728.78945991577154</v>
      </c>
      <c r="I96" s="41">
        <f t="shared" si="28"/>
        <v>91.098682489471443</v>
      </c>
      <c r="J96" s="41">
        <f t="shared" si="29"/>
        <v>0</v>
      </c>
      <c r="K96" s="41">
        <f t="shared" si="32"/>
        <v>167.56099411028126</v>
      </c>
      <c r="L96" s="41">
        <f t="shared" si="30"/>
        <v>470.1297833160188</v>
      </c>
      <c r="M96" s="41">
        <f t="shared" si="31"/>
        <v>0</v>
      </c>
      <c r="N96" s="41">
        <f t="shared" si="24"/>
        <v>470.1297833160188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632.34755124137371</v>
      </c>
      <c r="I97" s="41">
        <f t="shared" si="28"/>
        <v>79.043443905171713</v>
      </c>
      <c r="J97" s="41">
        <f t="shared" si="29"/>
        <v>0</v>
      </c>
      <c r="K97" s="41">
        <f t="shared" si="32"/>
        <v>164.41291587315632</v>
      </c>
      <c r="L97" s="41">
        <f t="shared" si="30"/>
        <v>388.89119146304574</v>
      </c>
      <c r="M97" s="41">
        <f t="shared" si="31"/>
        <v>0</v>
      </c>
      <c r="N97" s="41">
        <f t="shared" si="24"/>
        <v>388.89119146304574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549.57494197695132</v>
      </c>
      <c r="I98" s="41">
        <f t="shared" si="28"/>
        <v>68.696867747118915</v>
      </c>
      <c r="J98" s="41">
        <f t="shared" si="29"/>
        <v>0</v>
      </c>
      <c r="K98" s="41">
        <f t="shared" si="32"/>
        <v>162.20397461671473</v>
      </c>
      <c r="L98" s="41">
        <f t="shared" si="30"/>
        <v>318.67409961311768</v>
      </c>
      <c r="M98" s="41">
        <f t="shared" si="31"/>
        <v>0</v>
      </c>
      <c r="N98" s="41">
        <f t="shared" si="24"/>
        <v>318.67409961311768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477.27942056308206</v>
      </c>
      <c r="I99" s="41">
        <f t="shared" si="28"/>
        <v>59.659927570385257</v>
      </c>
      <c r="J99" s="41">
        <f t="shared" si="29"/>
        <v>0</v>
      </c>
      <c r="K99" s="41">
        <f t="shared" si="32"/>
        <v>160.71647393711191</v>
      </c>
      <c r="L99" s="41">
        <f t="shared" si="30"/>
        <v>256.90301905558488</v>
      </c>
      <c r="M99" s="41">
        <f t="shared" si="31"/>
        <v>0</v>
      </c>
      <c r="N99" s="41">
        <f t="shared" si="24"/>
        <v>256.90301905558488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414.29496707351279</v>
      </c>
      <c r="I100" s="41">
        <f t="shared" si="28"/>
        <v>51.786870884189099</v>
      </c>
      <c r="J100" s="41">
        <f t="shared" si="29"/>
        <v>0</v>
      </c>
      <c r="K100" s="41">
        <f t="shared" si="32"/>
        <v>159.91352178106183</v>
      </c>
      <c r="L100" s="41">
        <f t="shared" si="30"/>
        <v>202.59457440826185</v>
      </c>
      <c r="M100" s="41">
        <f t="shared" si="31"/>
        <v>0</v>
      </c>
      <c r="N100" s="41">
        <f t="shared" si="24"/>
        <v>202.59457440826185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354.6696523315328</v>
      </c>
      <c r="I101" s="41">
        <f t="shared" si="28"/>
        <v>44.3337065414416</v>
      </c>
      <c r="J101" s="41">
        <f t="shared" si="29"/>
        <v>0</v>
      </c>
      <c r="K101" s="41">
        <f t="shared" si="32"/>
        <v>159.54983807097906</v>
      </c>
      <c r="L101" s="41">
        <f t="shared" si="30"/>
        <v>150.78610771911215</v>
      </c>
      <c r="M101" s="41">
        <f t="shared" si="31"/>
        <v>0</v>
      </c>
      <c r="N101" s="41">
        <f t="shared" si="24"/>
        <v>150.78610771911215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305.5077244993854</v>
      </c>
      <c r="I102" s="41">
        <f t="shared" si="28"/>
        <v>38.188465562423175</v>
      </c>
      <c r="J102" s="41">
        <f t="shared" si="29"/>
        <v>0</v>
      </c>
      <c r="K102" s="41">
        <f t="shared" si="32"/>
        <v>159.72490073481487</v>
      </c>
      <c r="L102" s="41">
        <f t="shared" si="30"/>
        <v>107.59435820214736</v>
      </c>
      <c r="M102" s="41">
        <f t="shared" si="31"/>
        <v>0</v>
      </c>
      <c r="N102" s="41">
        <f t="shared" si="24"/>
        <v>107.59435820214736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263.09661856644306</v>
      </c>
      <c r="I103" s="41">
        <f t="shared" si="28"/>
        <v>32.887077320805382</v>
      </c>
      <c r="J103" s="41">
        <f t="shared" si="29"/>
        <v>0</v>
      </c>
      <c r="K103" s="41">
        <f t="shared" si="32"/>
        <v>160.32350718979109</v>
      </c>
      <c r="L103" s="41">
        <f t="shared" si="30"/>
        <v>69.886034055846579</v>
      </c>
      <c r="M103" s="41">
        <f t="shared" si="31"/>
        <v>0</v>
      </c>
      <c r="N103" s="41">
        <f t="shared" si="24"/>
        <v>69.886034055846579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227.11610812053812</v>
      </c>
      <c r="I104" s="41">
        <f t="shared" si="28"/>
        <v>28.389513515067264</v>
      </c>
      <c r="J104" s="41">
        <f t="shared" si="29"/>
        <v>0</v>
      </c>
      <c r="K104" s="41">
        <f t="shared" si="32"/>
        <v>161.32597209435892</v>
      </c>
      <c r="L104" s="41">
        <f t="shared" si="30"/>
        <v>37.400622511111919</v>
      </c>
      <c r="M104" s="41">
        <f t="shared" si="31"/>
        <v>0</v>
      </c>
      <c r="N104" s="41">
        <f t="shared" si="24"/>
        <v>37.400622511111919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194.45729392479757</v>
      </c>
      <c r="I105" s="41">
        <f t="shared" si="28"/>
        <v>24.307161740599696</v>
      </c>
      <c r="J105" s="41">
        <f t="shared" si="29"/>
        <v>0</v>
      </c>
      <c r="K105" s="41">
        <f t="shared" si="32"/>
        <v>162.60236570485282</v>
      </c>
      <c r="L105" s="41">
        <f t="shared" si="30"/>
        <v>7.5477664793450572</v>
      </c>
      <c r="M105" s="41">
        <f t="shared" si="31"/>
        <v>0</v>
      </c>
      <c r="N105" s="41">
        <f t="shared" si="24"/>
        <v>7.5477664793450572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4.9083183749216408</v>
      </c>
      <c r="I106" s="41">
        <f t="shared" si="28"/>
        <v>0.6135397968652051</v>
      </c>
      <c r="J106" s="41">
        <f t="shared" si="29"/>
        <v>0</v>
      </c>
      <c r="K106" s="41">
        <f t="shared" si="32"/>
        <v>155.52021945581515</v>
      </c>
      <c r="L106" s="41">
        <f t="shared" si="30"/>
        <v>-151.22544087775873</v>
      </c>
      <c r="M106" s="41">
        <f>IF(B85&lt;B84,E$25*(1+E$22/365)^(A63-A$50),0)</f>
        <v>0</v>
      </c>
      <c r="N106" s="41">
        <f t="shared" si="24"/>
        <v>-151.22544087775873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0</v>
      </c>
      <c r="I107" s="41">
        <f t="shared" si="28"/>
        <v>0</v>
      </c>
      <c r="J107" s="41">
        <f t="shared" si="29"/>
        <v>0</v>
      </c>
      <c r="K107" s="41">
        <f t="shared" si="32"/>
        <v>0</v>
      </c>
      <c r="L107" s="41">
        <f t="shared" si="30"/>
        <v>0</v>
      </c>
      <c r="M107" s="41">
        <f>IF(B86&lt;B85,E$25*(1+E$22/365)^(A64-A$50),0)</f>
        <v>125.71703150635304</v>
      </c>
      <c r="N107" s="41">
        <f t="shared" si="24"/>
        <v>-125.71703150635304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22" workbookViewId="0">
      <selection activeCell="I39" sqref="I39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473</v>
      </c>
    </row>
    <row r="5" spans="1:11">
      <c r="B5" t="s">
        <v>83</v>
      </c>
      <c r="I5" s="3">
        <f>'Cost inputs'!D19</f>
        <v>200</v>
      </c>
      <c r="J5" t="s">
        <v>61</v>
      </c>
      <c r="K5" t="s">
        <v>91</v>
      </c>
    </row>
    <row r="6" spans="1:11">
      <c r="B6" t="s">
        <v>85</v>
      </c>
      <c r="I6" s="3">
        <f>'Cost inputs'!D20</f>
        <v>400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inputs'!D22</f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inputs'!D24</f>
        <v>200</v>
      </c>
      <c r="J8" t="s">
        <v>61</v>
      </c>
      <c r="K8" t="s">
        <v>91</v>
      </c>
    </row>
    <row r="9" spans="1:11">
      <c r="B9" t="s">
        <v>466</v>
      </c>
      <c r="H9" s="5"/>
      <c r="I9" s="3">
        <f>'Cost inputs'!D25</f>
        <v>10</v>
      </c>
      <c r="J9" t="s">
        <v>61</v>
      </c>
      <c r="K9" t="s">
        <v>91</v>
      </c>
    </row>
    <row r="10" spans="1:11">
      <c r="B10" t="s">
        <v>467</v>
      </c>
      <c r="H10" s="5"/>
      <c r="I10" s="3">
        <f>'Cost inputs'!D27</f>
        <v>30</v>
      </c>
      <c r="J10" t="s">
        <v>61</v>
      </c>
      <c r="K10" t="s">
        <v>91</v>
      </c>
    </row>
    <row r="11" spans="1:11">
      <c r="B11" t="s">
        <v>400</v>
      </c>
      <c r="H11" s="5"/>
      <c r="I11" s="3">
        <f>'Cost inputs'!D29</f>
        <v>8</v>
      </c>
      <c r="J11" t="s">
        <v>61</v>
      </c>
      <c r="K11" t="s">
        <v>91</v>
      </c>
    </row>
    <row r="12" spans="1:11">
      <c r="B12" t="s">
        <v>60</v>
      </c>
      <c r="I12" s="3">
        <f>'Cost inputs'!D30</f>
        <v>10</v>
      </c>
      <c r="J12" t="s">
        <v>61</v>
      </c>
      <c r="K12" t="s">
        <v>91</v>
      </c>
    </row>
    <row r="13" spans="1:11">
      <c r="B13" t="s">
        <v>468</v>
      </c>
      <c r="I13" s="3">
        <f>'Cost inputs'!D32</f>
        <v>400</v>
      </c>
      <c r="J13" t="s">
        <v>58</v>
      </c>
      <c r="K13" t="s">
        <v>91</v>
      </c>
    </row>
    <row r="14" spans="1:11">
      <c r="B14" t="s">
        <v>191</v>
      </c>
      <c r="I14" s="3">
        <f>'Cost inputs'!D33</f>
        <v>10</v>
      </c>
      <c r="J14" t="s">
        <v>61</v>
      </c>
      <c r="K14" t="s">
        <v>91</v>
      </c>
    </row>
    <row r="15" spans="1:11">
      <c r="B15" t="s">
        <v>199</v>
      </c>
      <c r="I15" s="3">
        <f>'Cost inputs'!D35</f>
        <v>20</v>
      </c>
      <c r="J15" t="s">
        <v>61</v>
      </c>
      <c r="K15" t="s">
        <v>91</v>
      </c>
    </row>
    <row r="16" spans="1:11">
      <c r="B16" t="s">
        <v>213</v>
      </c>
      <c r="I16" s="3">
        <f>'Cost inputs'!D38</f>
        <v>75</v>
      </c>
      <c r="J16" t="s">
        <v>58</v>
      </c>
      <c r="K16" t="s">
        <v>91</v>
      </c>
    </row>
    <row r="18" spans="1:11">
      <c r="A18" t="s">
        <v>373</v>
      </c>
    </row>
    <row r="19" spans="1:11">
      <c r="B19" t="s">
        <v>62</v>
      </c>
      <c r="C19" s="8">
        <f>C21*E21/43560</f>
        <v>400.15208907254362</v>
      </c>
      <c r="D19" t="s">
        <v>68</v>
      </c>
      <c r="E19" t="s">
        <v>206</v>
      </c>
      <c r="G19" t="s">
        <v>207</v>
      </c>
      <c r="I19" s="11">
        <f>Summary!G11</f>
        <v>221.94942475775358</v>
      </c>
      <c r="J19" t="s">
        <v>208</v>
      </c>
      <c r="K19" t="s">
        <v>339</v>
      </c>
    </row>
    <row r="20" spans="1:11">
      <c r="B20" s="65" t="s">
        <v>243</v>
      </c>
      <c r="C20" s="8">
        <f>C19*259/640</f>
        <v>161.936548546545</v>
      </c>
      <c r="D20" t="s">
        <v>325</v>
      </c>
      <c r="G20" t="s">
        <v>80</v>
      </c>
      <c r="I20" s="73">
        <f>Summary!H11</f>
        <v>20</v>
      </c>
      <c r="J20" t="s">
        <v>81</v>
      </c>
      <c r="K20" t="s">
        <v>339</v>
      </c>
    </row>
    <row r="21" spans="1:11">
      <c r="B21" s="65" t="s">
        <v>243</v>
      </c>
      <c r="C21">
        <f>Summary!D11</f>
        <v>4175</v>
      </c>
      <c r="D21" t="s">
        <v>245</v>
      </c>
      <c r="E21">
        <f>Summary!C11</f>
        <v>4175</v>
      </c>
      <c r="F21" t="s">
        <v>244</v>
      </c>
      <c r="G21" t="s">
        <v>206</v>
      </c>
      <c r="I21" s="11">
        <f>I19*I20*C19/1000</f>
        <v>1776.2705197052883</v>
      </c>
      <c r="J21" t="s">
        <v>135</v>
      </c>
    </row>
    <row r="22" spans="1:11">
      <c r="A22" t="s">
        <v>200</v>
      </c>
      <c r="C22">
        <f>Summary!C28</f>
        <v>100</v>
      </c>
      <c r="D22" t="s">
        <v>340</v>
      </c>
      <c r="I22" s="8"/>
    </row>
    <row r="23" spans="1:11">
      <c r="E23" t="s">
        <v>63</v>
      </c>
      <c r="F23" t="s">
        <v>65</v>
      </c>
      <c r="G23">
        <f>ROUNDDOWN(C19/C22,0)</f>
        <v>4</v>
      </c>
      <c r="H23" t="s">
        <v>67</v>
      </c>
      <c r="I23" s="3">
        <f>G23*SUM(I$5,I$7,I9,I$12)</f>
        <v>1280</v>
      </c>
      <c r="J23" t="s">
        <v>58</v>
      </c>
    </row>
    <row r="24" spans="1:11">
      <c r="E24" t="s">
        <v>471</v>
      </c>
      <c r="I24" s="3">
        <f>I13</f>
        <v>400</v>
      </c>
      <c r="J24" t="s">
        <v>58</v>
      </c>
    </row>
    <row r="25" spans="1:11">
      <c r="E25" t="s">
        <v>69</v>
      </c>
      <c r="I25" s="3">
        <f>SUM(I23:I24)</f>
        <v>1680</v>
      </c>
      <c r="J25" t="s">
        <v>58</v>
      </c>
    </row>
    <row r="27" spans="1:11">
      <c r="C27" t="s">
        <v>70</v>
      </c>
      <c r="G27" s="8">
        <f>Summary!E28</f>
        <v>60</v>
      </c>
      <c r="H27" t="s">
        <v>211</v>
      </c>
      <c r="I27">
        <f>G27*G23</f>
        <v>240</v>
      </c>
      <c r="J27" t="s">
        <v>212</v>
      </c>
    </row>
    <row r="28" spans="1:11">
      <c r="C28" t="s">
        <v>71</v>
      </c>
      <c r="I28" s="6">
        <f>(I27-I29)*0.365/I30</f>
        <v>6.270687961453994E-2</v>
      </c>
      <c r="J28" s="4" t="s">
        <v>74</v>
      </c>
    </row>
    <row r="29" spans="1:11">
      <c r="C29" t="s">
        <v>72</v>
      </c>
      <c r="I29" s="8">
        <f>I36*1000/(30.4*(I33*(1-I34)-I35))</f>
        <v>87.418655284909832</v>
      </c>
      <c r="J29" t="s">
        <v>212</v>
      </c>
    </row>
    <row r="30" spans="1:11">
      <c r="C30" t="s">
        <v>75</v>
      </c>
      <c r="I30" s="8">
        <f>I21*I31</f>
        <v>888.13525985264414</v>
      </c>
      <c r="J30" t="s">
        <v>135</v>
      </c>
    </row>
    <row r="31" spans="1:11">
      <c r="C31" t="s">
        <v>82</v>
      </c>
      <c r="I31" s="9">
        <f>Summary!H28</f>
        <v>0.5</v>
      </c>
      <c r="K31" t="s">
        <v>347</v>
      </c>
    </row>
    <row r="32" spans="1:11">
      <c r="C32" t="s">
        <v>100</v>
      </c>
      <c r="I32" s="8">
        <v>0</v>
      </c>
      <c r="J32" t="s">
        <v>328</v>
      </c>
      <c r="K32" t="s">
        <v>404</v>
      </c>
    </row>
    <row r="33" spans="1:10">
      <c r="C33" t="s">
        <v>355</v>
      </c>
      <c r="I33" s="2">
        <f>Prices!F14</f>
        <v>4.8718819288820665</v>
      </c>
      <c r="J33" s="4" t="s">
        <v>187</v>
      </c>
    </row>
    <row r="34" spans="1:10">
      <c r="C34" t="s">
        <v>354</v>
      </c>
      <c r="I34" s="66">
        <v>0.125</v>
      </c>
    </row>
    <row r="35" spans="1:10">
      <c r="C35" t="s">
        <v>185</v>
      </c>
      <c r="I35" s="2">
        <f>Summary!G50</f>
        <v>0.5</v>
      </c>
      <c r="J35" s="4" t="s">
        <v>111</v>
      </c>
    </row>
    <row r="36" spans="1:10">
      <c r="C36" t="s">
        <v>186</v>
      </c>
      <c r="I36" s="3">
        <f>Summary!F50</f>
        <v>10</v>
      </c>
      <c r="J36" s="4" t="s">
        <v>188</v>
      </c>
    </row>
    <row r="37" spans="1:10">
      <c r="C37" t="s">
        <v>334</v>
      </c>
      <c r="I37" s="76">
        <f>G23*I14</f>
        <v>40</v>
      </c>
      <c r="J37" s="4" t="s">
        <v>335</v>
      </c>
    </row>
    <row r="38" spans="1:10">
      <c r="C38" t="s">
        <v>192</v>
      </c>
      <c r="I38" s="76">
        <f>I16</f>
        <v>75</v>
      </c>
      <c r="J38" s="4" t="s">
        <v>335</v>
      </c>
    </row>
    <row r="39" spans="1:10">
      <c r="C39" t="s">
        <v>203</v>
      </c>
      <c r="I39" s="76">
        <f>'Sil Clint gas vert'!C35</f>
        <v>-818.15404420979019</v>
      </c>
      <c r="J39" s="4" t="s">
        <v>58</v>
      </c>
    </row>
    <row r="40" spans="1:10">
      <c r="C40" t="s">
        <v>204</v>
      </c>
      <c r="I40" s="76">
        <f>'Sil Clint gas vert'!C36</f>
        <v>-857.45017777564408</v>
      </c>
      <c r="J40" s="4" t="s">
        <v>58</v>
      </c>
    </row>
    <row r="41" spans="1:10">
      <c r="C41" t="s">
        <v>197</v>
      </c>
      <c r="I41" s="44">
        <f>'Sil Clint gas vert'!C38</f>
        <v>0</v>
      </c>
      <c r="J41" s="4"/>
    </row>
    <row r="43" spans="1:10">
      <c r="A43" t="s">
        <v>200</v>
      </c>
      <c r="C43">
        <f>Summary!C29</f>
        <v>200</v>
      </c>
      <c r="D43" t="s">
        <v>470</v>
      </c>
      <c r="I43" s="8"/>
    </row>
    <row r="44" spans="1:10">
      <c r="E44" t="s">
        <v>345</v>
      </c>
      <c r="F44" t="s">
        <v>65</v>
      </c>
      <c r="G44">
        <f>ROUND(C19/C43,0)</f>
        <v>2</v>
      </c>
      <c r="H44" t="s">
        <v>67</v>
      </c>
      <c r="I44" s="3">
        <f>G44*SUM(I6,I8,I10,I12)</f>
        <v>1280</v>
      </c>
      <c r="J44" t="s">
        <v>58</v>
      </c>
    </row>
    <row r="45" spans="1:10">
      <c r="E45" t="s">
        <v>471</v>
      </c>
      <c r="I45" s="3">
        <f>I13</f>
        <v>400</v>
      </c>
      <c r="J45" t="s">
        <v>58</v>
      </c>
    </row>
    <row r="46" spans="1:10">
      <c r="E46" t="s">
        <v>69</v>
      </c>
      <c r="I46" s="3">
        <f>SUM(I44:I45)</f>
        <v>1680</v>
      </c>
      <c r="J46" t="s">
        <v>58</v>
      </c>
    </row>
    <row r="48" spans="1:10">
      <c r="C48" t="s">
        <v>70</v>
      </c>
      <c r="G48" s="8">
        <f>Summary!E29</f>
        <v>120</v>
      </c>
      <c r="H48" t="s">
        <v>211</v>
      </c>
      <c r="I48" s="8">
        <f>G48*G44</f>
        <v>240</v>
      </c>
      <c r="J48" t="s">
        <v>212</v>
      </c>
    </row>
    <row r="49" spans="3:11">
      <c r="C49" t="s">
        <v>71</v>
      </c>
      <c r="I49" s="6">
        <f>(I48-I50)*0.365/I51</f>
        <v>6.270687961453994E-2</v>
      </c>
      <c r="J49" s="4" t="s">
        <v>74</v>
      </c>
    </row>
    <row r="50" spans="3:11">
      <c r="C50" t="s">
        <v>72</v>
      </c>
      <c r="I50" s="8">
        <f>I57*1000/(30.4*(I54*(1-I55)-I56))</f>
        <v>87.418655284909832</v>
      </c>
      <c r="J50" t="s">
        <v>212</v>
      </c>
    </row>
    <row r="51" spans="3:11">
      <c r="C51" t="s">
        <v>75</v>
      </c>
      <c r="I51" s="8">
        <f>I21*I52</f>
        <v>888.13525985264414</v>
      </c>
      <c r="J51" t="s">
        <v>135</v>
      </c>
    </row>
    <row r="52" spans="3:11">
      <c r="C52" t="s">
        <v>82</v>
      </c>
      <c r="I52" s="9">
        <f>Summary!H29</f>
        <v>0.5</v>
      </c>
      <c r="K52" t="s">
        <v>91</v>
      </c>
    </row>
    <row r="53" spans="3:11">
      <c r="C53" t="s">
        <v>100</v>
      </c>
      <c r="I53" s="8">
        <v>0</v>
      </c>
      <c r="J53" t="s">
        <v>328</v>
      </c>
      <c r="K53" t="s">
        <v>404</v>
      </c>
    </row>
    <row r="54" spans="3:11">
      <c r="C54" t="s">
        <v>355</v>
      </c>
      <c r="I54" s="2">
        <f>Prices!F14</f>
        <v>4.8718819288820665</v>
      </c>
      <c r="J54" s="4" t="s">
        <v>187</v>
      </c>
    </row>
    <row r="55" spans="3:11">
      <c r="C55" t="s">
        <v>354</v>
      </c>
      <c r="I55" s="66">
        <v>0.125</v>
      </c>
    </row>
    <row r="56" spans="3:11">
      <c r="C56" t="s">
        <v>185</v>
      </c>
      <c r="I56" s="2">
        <f>Summary!G51</f>
        <v>0.5</v>
      </c>
      <c r="J56" s="4" t="s">
        <v>111</v>
      </c>
    </row>
    <row r="57" spans="3:11">
      <c r="C57" t="s">
        <v>186</v>
      </c>
      <c r="I57" s="3">
        <f>Summary!F51</f>
        <v>10</v>
      </c>
      <c r="J57" s="4" t="s">
        <v>188</v>
      </c>
    </row>
    <row r="58" spans="3:11">
      <c r="C58" t="s">
        <v>334</v>
      </c>
      <c r="I58" s="3">
        <f>G44*I15</f>
        <v>40</v>
      </c>
      <c r="J58" s="4" t="s">
        <v>335</v>
      </c>
    </row>
    <row r="59" spans="3:11">
      <c r="C59" t="s">
        <v>192</v>
      </c>
      <c r="I59" s="3">
        <f>I16</f>
        <v>75</v>
      </c>
      <c r="J59" s="4" t="s">
        <v>335</v>
      </c>
    </row>
    <row r="60" spans="3:11">
      <c r="C60" t="s">
        <v>203</v>
      </c>
      <c r="I60" s="3">
        <f>'Sil Clint gas hor'!C35</f>
        <v>-818.15404420979019</v>
      </c>
      <c r="J60" s="4" t="s">
        <v>58</v>
      </c>
    </row>
    <row r="61" spans="3:11">
      <c r="C61" t="s">
        <v>204</v>
      </c>
      <c r="I61" s="3">
        <f>'Sil Clint gas hor'!C36</f>
        <v>-857.45017777564408</v>
      </c>
      <c r="J61" s="4" t="s">
        <v>58</v>
      </c>
    </row>
    <row r="62" spans="3:11">
      <c r="C62" t="s">
        <v>197</v>
      </c>
      <c r="I62" s="44">
        <f>'Sil Clint gas hor'!C38</f>
        <v>0</v>
      </c>
      <c r="J62" s="4"/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Normal="100" workbookViewId="0">
      <selection activeCell="D17" sqref="D17:E17"/>
    </sheetView>
    <sheetView workbookViewId="1"/>
  </sheetViews>
  <sheetFormatPr defaultRowHeight="15"/>
  <cols>
    <col min="1" max="1" width="20.7109375" customWidth="1"/>
    <col min="2" max="5" width="6.7109375" customWidth="1"/>
    <col min="6" max="6" width="7.85546875" customWidth="1"/>
    <col min="7" max="7" width="7.140625" customWidth="1"/>
    <col min="8" max="9" width="6.28515625" customWidth="1"/>
    <col min="10" max="10" width="8.85546875" customWidth="1"/>
    <col min="11" max="11" width="6.28515625" customWidth="1"/>
    <col min="12" max="13" width="8.7109375" customWidth="1"/>
    <col min="14" max="14" width="10.5703125" customWidth="1"/>
  </cols>
  <sheetData>
    <row r="1" spans="1:15">
      <c r="A1" t="s">
        <v>0</v>
      </c>
    </row>
    <row r="2" spans="1:15">
      <c r="A2" t="s">
        <v>489</v>
      </c>
    </row>
    <row r="3" spans="1:15">
      <c r="A3" t="s">
        <v>406</v>
      </c>
      <c r="B3" t="s">
        <v>492</v>
      </c>
      <c r="D3" s="1" t="s">
        <v>253</v>
      </c>
      <c r="E3" s="1" t="s">
        <v>490</v>
      </c>
      <c r="F3" t="s">
        <v>504</v>
      </c>
      <c r="H3" t="s">
        <v>505</v>
      </c>
      <c r="J3" s="1" t="s">
        <v>146</v>
      </c>
      <c r="K3" s="1" t="s">
        <v>166</v>
      </c>
      <c r="L3" s="86" t="s">
        <v>501</v>
      </c>
      <c r="M3" s="1"/>
      <c r="N3" s="86" t="s">
        <v>503</v>
      </c>
    </row>
    <row r="4" spans="1:15">
      <c r="B4" s="1"/>
      <c r="C4" s="1"/>
      <c r="D4" s="85" t="s">
        <v>493</v>
      </c>
      <c r="E4" s="1" t="s">
        <v>494</v>
      </c>
      <c r="F4" s="1"/>
      <c r="G4" s="1"/>
      <c r="H4" s="1"/>
      <c r="I4" s="1"/>
      <c r="J4" s="1" t="s">
        <v>491</v>
      </c>
      <c r="K4" s="1" t="s">
        <v>500</v>
      </c>
      <c r="L4" s="1"/>
      <c r="M4" s="1"/>
      <c r="N4" s="1"/>
    </row>
    <row r="5" spans="1:15" ht="17.25">
      <c r="B5" s="1" t="s">
        <v>262</v>
      </c>
      <c r="C5" s="1" t="s">
        <v>421</v>
      </c>
      <c r="D5" s="1" t="s">
        <v>263</v>
      </c>
      <c r="E5" s="1" t="s">
        <v>263</v>
      </c>
      <c r="F5" s="1" t="s">
        <v>261</v>
      </c>
      <c r="G5" s="1" t="s">
        <v>495</v>
      </c>
      <c r="H5" s="1" t="s">
        <v>496</v>
      </c>
      <c r="I5" s="1" t="s">
        <v>497</v>
      </c>
      <c r="J5" s="68" t="s">
        <v>499</v>
      </c>
      <c r="K5" s="1"/>
      <c r="L5" s="69" t="s">
        <v>321</v>
      </c>
      <c r="M5" s="69" t="s">
        <v>423</v>
      </c>
      <c r="N5" s="68" t="s">
        <v>502</v>
      </c>
      <c r="O5" s="79" t="s">
        <v>424</v>
      </c>
    </row>
    <row r="6" spans="1:15">
      <c r="A6" s="87" t="s">
        <v>407</v>
      </c>
      <c r="B6" s="88">
        <f>C6/3.281</f>
        <v>121.91405059433099</v>
      </c>
      <c r="C6" s="88">
        <v>400</v>
      </c>
      <c r="D6" s="89">
        <v>0.192</v>
      </c>
      <c r="E6" s="90">
        <v>6.3E-2</v>
      </c>
      <c r="F6" s="91">
        <f>G6*6.894757</f>
        <v>1268.6352879999999</v>
      </c>
      <c r="G6" s="91">
        <v>184</v>
      </c>
      <c r="H6" s="88">
        <f>(I6-32)*5/9</f>
        <v>17.222222222222221</v>
      </c>
      <c r="I6" s="92">
        <v>63</v>
      </c>
      <c r="J6" s="92">
        <v>1.05</v>
      </c>
      <c r="K6" s="87"/>
      <c r="L6" s="93">
        <f>M6/6.2897*640/259*3.281</f>
        <v>1713.3962209535775</v>
      </c>
      <c r="M6" s="93">
        <f>7758*D6*(1-E6)/J6</f>
        <v>1329.2335542857143</v>
      </c>
      <c r="N6" s="87"/>
      <c r="O6" s="87"/>
    </row>
    <row r="7" spans="1:15">
      <c r="A7" s="87" t="s">
        <v>408</v>
      </c>
      <c r="B7" s="88">
        <v>425</v>
      </c>
      <c r="C7" s="88">
        <f t="shared" ref="C7:C12" si="0">B7*3.281</f>
        <v>1394.425</v>
      </c>
      <c r="D7" s="89">
        <v>0.14000000000000001</v>
      </c>
      <c r="E7" s="90">
        <v>0.15</v>
      </c>
      <c r="F7" s="91">
        <f t="shared" ref="F7:F14" si="1">B7*10</f>
        <v>4250</v>
      </c>
      <c r="G7" s="91">
        <f t="shared" ref="G7:G14" si="2">F7/6.894757</f>
        <v>616.41041156345318</v>
      </c>
      <c r="H7" s="88">
        <v>18</v>
      </c>
      <c r="I7" s="92">
        <f t="shared" ref="I7:I14" si="3">H7*9/5+32</f>
        <v>64.400000000000006</v>
      </c>
      <c r="J7" s="87"/>
      <c r="K7" s="87">
        <v>0.87</v>
      </c>
      <c r="L7" s="87"/>
      <c r="M7" s="87"/>
      <c r="N7" s="94">
        <f>10*D7*(1-E7)*F7*288/(101.3*(273+H7)*K7)</f>
        <v>56.794553843054871</v>
      </c>
      <c r="O7" s="95">
        <f>43560*D7*(1-E7)*G7*520/(14.65*(460+I7)*K7)/1000</f>
        <v>248.59282026167398</v>
      </c>
    </row>
    <row r="8" spans="1:15">
      <c r="A8" s="87" t="s">
        <v>409</v>
      </c>
      <c r="B8" s="88">
        <v>600</v>
      </c>
      <c r="C8" s="88">
        <f t="shared" si="0"/>
        <v>1968.6000000000001</v>
      </c>
      <c r="D8" s="89">
        <v>0.08</v>
      </c>
      <c r="E8" s="90">
        <v>0.25</v>
      </c>
      <c r="F8" s="91">
        <f t="shared" si="1"/>
        <v>6000</v>
      </c>
      <c r="G8" s="91">
        <f t="shared" si="2"/>
        <v>870.22646338369861</v>
      </c>
      <c r="H8" s="88">
        <v>19</v>
      </c>
      <c r="I8" s="92">
        <f t="shared" si="3"/>
        <v>66.2</v>
      </c>
      <c r="J8" s="92">
        <v>1.05</v>
      </c>
      <c r="K8" s="87"/>
      <c r="L8" s="93">
        <f>M8/6.2897*640/259*3.281</f>
        <v>571.43683996584093</v>
      </c>
      <c r="M8" s="93">
        <f>7758*D8*(1-E8)/J8</f>
        <v>443.31428571428569</v>
      </c>
      <c r="N8" s="87"/>
      <c r="O8" s="87"/>
    </row>
    <row r="9" spans="1:15">
      <c r="A9" s="87" t="s">
        <v>498</v>
      </c>
      <c r="B9" s="88">
        <v>575</v>
      </c>
      <c r="C9" s="88">
        <f t="shared" si="0"/>
        <v>1886.575</v>
      </c>
      <c r="D9" s="89">
        <v>0.08</v>
      </c>
      <c r="E9" s="90">
        <v>0.15</v>
      </c>
      <c r="F9" s="91">
        <f t="shared" si="1"/>
        <v>5750</v>
      </c>
      <c r="G9" s="91">
        <f t="shared" si="2"/>
        <v>833.96702740937781</v>
      </c>
      <c r="H9" s="88">
        <v>14</v>
      </c>
      <c r="I9" s="92">
        <f t="shared" si="3"/>
        <v>57.2</v>
      </c>
      <c r="J9" s="87"/>
      <c r="K9" s="87">
        <v>0.85</v>
      </c>
      <c r="L9" s="87"/>
      <c r="M9" s="87"/>
      <c r="N9" s="94">
        <f>10*D9*(1-E9)*F9*288/(101.3*(273+H9)*K9)</f>
        <v>45.567896096391522</v>
      </c>
      <c r="O9" s="95">
        <f>43560*D9*(1-E9)*G9*520/(14.65*(460+I9)*K9)/1000</f>
        <v>199.44995426943501</v>
      </c>
    </row>
    <row r="10" spans="1:15">
      <c r="A10" s="87" t="s">
        <v>410</v>
      </c>
      <c r="B10" s="88">
        <v>420</v>
      </c>
      <c r="C10" s="88">
        <f t="shared" si="0"/>
        <v>1378.02</v>
      </c>
      <c r="D10" s="89">
        <v>0.12</v>
      </c>
      <c r="E10" s="90">
        <v>0.1</v>
      </c>
      <c r="F10" s="91">
        <f t="shared" si="1"/>
        <v>4200</v>
      </c>
      <c r="G10" s="91">
        <f t="shared" si="2"/>
        <v>609.15852436858904</v>
      </c>
      <c r="H10" s="88">
        <v>16</v>
      </c>
      <c r="I10" s="92">
        <f t="shared" si="3"/>
        <v>60.8</v>
      </c>
      <c r="J10" s="87"/>
      <c r="K10" s="87">
        <v>0.88</v>
      </c>
      <c r="L10" s="87"/>
      <c r="M10" s="87"/>
      <c r="N10" s="94">
        <f>10*D10*(1-E10)*F10*288/(101.3*(273+H10)*K10)</f>
        <v>50.707893949900118</v>
      </c>
      <c r="O10" s="95">
        <f>43560*D10*(1-E10)*G10*520/(14.65*(460+I10)*K10)/1000</f>
        <v>221.94942475775358</v>
      </c>
    </row>
    <row r="11" spans="1:15">
      <c r="A11" s="87" t="s">
        <v>411</v>
      </c>
      <c r="B11" s="88">
        <v>900</v>
      </c>
      <c r="C11" s="88">
        <f t="shared" si="0"/>
        <v>2952.9</v>
      </c>
      <c r="D11" s="89">
        <v>0.1</v>
      </c>
      <c r="E11" s="90">
        <v>0.1</v>
      </c>
      <c r="F11" s="91">
        <f t="shared" si="1"/>
        <v>9000</v>
      </c>
      <c r="G11" s="91">
        <f t="shared" si="2"/>
        <v>1305.339695075548</v>
      </c>
      <c r="H11" s="88">
        <v>18</v>
      </c>
      <c r="I11" s="92">
        <f t="shared" si="3"/>
        <v>64.400000000000006</v>
      </c>
      <c r="J11" s="87"/>
      <c r="K11" s="87">
        <v>0.81</v>
      </c>
      <c r="L11" s="87"/>
      <c r="M11" s="87"/>
      <c r="N11" s="94">
        <f>10*D11*(1-E11)*F11*288/(101.3*(273+H11)*K11)</f>
        <v>97.698985355329171</v>
      </c>
      <c r="O11" s="95">
        <f>43560*D11*(1-E11)*G11*520/(14.65*(460+I11)*K11)/1000</f>
        <v>427.63371948127798</v>
      </c>
    </row>
    <row r="12" spans="1:15">
      <c r="A12" s="87" t="s">
        <v>412</v>
      </c>
      <c r="B12" s="88">
        <v>830</v>
      </c>
      <c r="C12" s="88">
        <f t="shared" si="0"/>
        <v>2723.23</v>
      </c>
      <c r="D12" s="89">
        <v>0.1</v>
      </c>
      <c r="E12" s="90">
        <v>0.1</v>
      </c>
      <c r="F12" s="91">
        <f t="shared" si="1"/>
        <v>8300</v>
      </c>
      <c r="G12" s="91">
        <f t="shared" si="2"/>
        <v>1203.8132743474498</v>
      </c>
      <c r="H12" s="88">
        <v>18</v>
      </c>
      <c r="I12" s="92">
        <f t="shared" si="3"/>
        <v>64.400000000000006</v>
      </c>
      <c r="J12" s="92">
        <v>1.1499999999999999</v>
      </c>
      <c r="K12" s="87"/>
      <c r="L12" s="93">
        <f>M12/6.2897*640/259*3.281</f>
        <v>782.62001995321691</v>
      </c>
      <c r="M12" s="93">
        <f>7758*D12*(1-E12)/J12</f>
        <v>607.14782608695657</v>
      </c>
      <c r="N12" s="87"/>
      <c r="O12" s="87"/>
    </row>
    <row r="13" spans="1:15">
      <c r="A13" s="87" t="s">
        <v>413</v>
      </c>
      <c r="B13" s="88">
        <f>C13/3.281</f>
        <v>1188.6619932947272</v>
      </c>
      <c r="C13" s="88">
        <v>3900</v>
      </c>
      <c r="D13" s="89">
        <v>0.08</v>
      </c>
      <c r="E13" s="90">
        <v>0.2</v>
      </c>
      <c r="F13" s="91">
        <f t="shared" si="1"/>
        <v>11886.619932947271</v>
      </c>
      <c r="G13" s="91">
        <f t="shared" si="2"/>
        <v>1724.0085376391469</v>
      </c>
      <c r="H13" s="88">
        <v>21</v>
      </c>
      <c r="I13" s="92">
        <f t="shared" si="3"/>
        <v>69.8</v>
      </c>
      <c r="J13" s="87"/>
      <c r="K13" s="87">
        <v>0.78</v>
      </c>
      <c r="L13" s="87"/>
      <c r="M13" s="87"/>
      <c r="N13" s="94">
        <f>10*D13*(1-E13)*F13*288/(101.3*(273+H13)*K13)</f>
        <v>94.314715692372843</v>
      </c>
      <c r="O13" s="95">
        <f>43560*D13*(1-E13)*G13*520/(14.65*(460+I13)*K13)/1000</f>
        <v>412.82540874006332</v>
      </c>
    </row>
    <row r="14" spans="1:15">
      <c r="A14" s="87" t="s">
        <v>414</v>
      </c>
      <c r="B14" s="88">
        <f>C14/3.281</f>
        <v>1188.6619932947272</v>
      </c>
      <c r="C14" s="88">
        <v>3900</v>
      </c>
      <c r="D14" s="89">
        <v>0.08</v>
      </c>
      <c r="E14" s="90">
        <v>0.2</v>
      </c>
      <c r="F14" s="91">
        <f t="shared" si="1"/>
        <v>11886.619932947271</v>
      </c>
      <c r="G14" s="91">
        <f t="shared" si="2"/>
        <v>1724.0085376391469</v>
      </c>
      <c r="H14" s="88">
        <v>21</v>
      </c>
      <c r="I14" s="92">
        <f t="shared" si="3"/>
        <v>69.8</v>
      </c>
      <c r="J14" s="92">
        <v>1.2</v>
      </c>
      <c r="K14" s="87"/>
      <c r="L14" s="93">
        <f>M14/6.2897*640/259*3.281</f>
        <v>533.34105063478478</v>
      </c>
      <c r="M14" s="93">
        <f>7758*D14*(1-E14)/J14</f>
        <v>413.76</v>
      </c>
      <c r="N14" s="87"/>
      <c r="O14" s="87"/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8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481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12">
        <f>'Sil Clint Gas'!I27</f>
        <v>240</v>
      </c>
      <c r="F4" s="14" t="s">
        <v>212</v>
      </c>
      <c r="G4" s="15"/>
    </row>
    <row r="5" spans="1:21" ht="15.75">
      <c r="A5" s="14" t="s">
        <v>184</v>
      </c>
      <c r="B5" s="14"/>
      <c r="E5" s="26">
        <f>'Sil Clint Gas'!I28</f>
        <v>6.270687961453994E-2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'Sil Clint Gas'!I29</f>
        <v>87.418655284909832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'Sil Clint Gas'!G23</f>
        <v>4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Clint Gas'!I36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'Sil Clint Gas'!I35</f>
        <v>0.5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'Sil Clint Gas'!I25</f>
        <v>1680</v>
      </c>
      <c r="F24" s="12" t="s">
        <v>195</v>
      </c>
    </row>
    <row r="25" spans="1:21">
      <c r="B25" s="12" t="s">
        <v>193</v>
      </c>
      <c r="E25" s="42">
        <f>'Sil Clint Gas'!I37+'Sil Clint Gas'!I38</f>
        <v>115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-328.6860367491405</v>
      </c>
      <c r="D32" s="12" t="s">
        <v>58</v>
      </c>
      <c r="E32" s="84">
        <f>C32/E$24</f>
        <v>-0.19564645044591697</v>
      </c>
    </row>
    <row r="33" spans="1:19">
      <c r="A33" s="26">
        <v>0.05</v>
      </c>
      <c r="B33" s="12" t="s">
        <v>128</v>
      </c>
      <c r="C33" s="29">
        <f t="shared" ref="C33:C37" si="0">NPV(A33,N$92:N$107)</f>
        <v>-606.88620652586349</v>
      </c>
      <c r="D33" s="12" t="s">
        <v>58</v>
      </c>
      <c r="E33" s="84">
        <f t="shared" ref="E33:E37" si="1">C33/E$24</f>
        <v>-0.36124178959872827</v>
      </c>
    </row>
    <row r="34" spans="1:19">
      <c r="A34" s="26">
        <v>0.1</v>
      </c>
      <c r="B34" s="12" t="s">
        <v>128</v>
      </c>
      <c r="C34" s="29">
        <f t="shared" si="0"/>
        <v>-766.08967433196892</v>
      </c>
      <c r="D34" s="12" t="s">
        <v>58</v>
      </c>
      <c r="E34" s="84">
        <f t="shared" si="1"/>
        <v>-0.45600575853093389</v>
      </c>
    </row>
    <row r="35" spans="1:19">
      <c r="A35" s="26">
        <v>0.125</v>
      </c>
      <c r="B35" s="12" t="s">
        <v>128</v>
      </c>
      <c r="C35" s="29">
        <f t="shared" si="0"/>
        <v>-818.15404420979019</v>
      </c>
      <c r="D35" s="12" t="s">
        <v>58</v>
      </c>
      <c r="E35" s="84">
        <f t="shared" si="1"/>
        <v>-0.48699645488677989</v>
      </c>
      <c r="F35" s="14"/>
    </row>
    <row r="36" spans="1:19">
      <c r="A36" s="26">
        <v>0.15</v>
      </c>
      <c r="B36" s="12" t="s">
        <v>128</v>
      </c>
      <c r="C36" s="29">
        <f t="shared" si="0"/>
        <v>-857.45017777564408</v>
      </c>
      <c r="D36" s="12" t="s">
        <v>58</v>
      </c>
      <c r="E36" s="84">
        <f t="shared" si="1"/>
        <v>-0.51038701058074054</v>
      </c>
      <c r="F36" s="14"/>
    </row>
    <row r="37" spans="1:19">
      <c r="A37" s="26">
        <v>0.2</v>
      </c>
      <c r="B37" s="12" t="s">
        <v>128</v>
      </c>
      <c r="C37" s="29">
        <f t="shared" si="0"/>
        <v>-908.49290626555637</v>
      </c>
      <c r="D37" s="12" t="s">
        <v>58</v>
      </c>
      <c r="E37" s="84">
        <f t="shared" si="1"/>
        <v>-0.54076958706283118</v>
      </c>
      <c r="F37" s="14"/>
    </row>
    <row r="38" spans="1:19">
      <c r="A38" s="12" t="s">
        <v>197</v>
      </c>
      <c r="C38" s="25">
        <f>IF(SUM(N92:N107)&lt;0,0,IRR(N92:N107))</f>
        <v>0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888.13525985264414</v>
      </c>
      <c r="I41" s="14" t="s">
        <v>135</v>
      </c>
      <c r="J41" s="33">
        <f>C107</f>
        <v>0</v>
      </c>
      <c r="K41" s="14" t="s">
        <v>136</v>
      </c>
      <c r="L41" s="33">
        <f>F41+H41/E$42+J41</f>
        <v>148.02254330877403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240</v>
      </c>
      <c r="F50" s="18">
        <f>E50*E$11</f>
        <v>240</v>
      </c>
      <c r="G50" s="35">
        <f>F50*(1-$E$27)</f>
        <v>210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225.4124970006751</v>
      </c>
      <c r="F51" s="18">
        <f t="shared" ref="F51:F64" si="7">E51*E$11</f>
        <v>225.4124970006751</v>
      </c>
      <c r="G51" s="35">
        <f t="shared" ref="G51:G64" si="8">F51*(1-$E$27)</f>
        <v>197.23593487559071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211.71164085033067</v>
      </c>
      <c r="F52" s="18">
        <f t="shared" si="7"/>
        <v>211.71164085033067</v>
      </c>
      <c r="G52" s="35">
        <f t="shared" si="8"/>
        <v>185.24768574403933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198.84354003409652</v>
      </c>
      <c r="F53" s="18">
        <f t="shared" si="7"/>
        <v>198.84354003409652</v>
      </c>
      <c r="G53" s="35">
        <f t="shared" si="8"/>
        <v>173.98809752983445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186.72549649693124</v>
      </c>
      <c r="F54" s="18">
        <f t="shared" si="7"/>
        <v>186.72549649693124</v>
      </c>
      <c r="G54" s="35">
        <f t="shared" si="8"/>
        <v>163.38480943481483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175.37608507943369</v>
      </c>
      <c r="F55" s="18">
        <f t="shared" si="7"/>
        <v>175.37608507943369</v>
      </c>
      <c r="G55" s="35">
        <f t="shared" si="8"/>
        <v>153.45407444450447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164.71650521649161</v>
      </c>
      <c r="F56" s="18">
        <f t="shared" si="7"/>
        <v>164.71650521649161</v>
      </c>
      <c r="G56" s="35">
        <f t="shared" si="8"/>
        <v>144.12694206443015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154.70482807530874</v>
      </c>
      <c r="F57" s="18">
        <f t="shared" si="7"/>
        <v>154.70482807530874</v>
      </c>
      <c r="G57" s="35">
        <f t="shared" si="8"/>
        <v>135.36672456589514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145.27671267510618</v>
      </c>
      <c r="F58" s="18">
        <f t="shared" si="7"/>
        <v>145.27671267510618</v>
      </c>
      <c r="G58" s="35">
        <f t="shared" si="8"/>
        <v>127.11712359071791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136.44661066727213</v>
      </c>
      <c r="F59" s="18">
        <f t="shared" si="7"/>
        <v>136.44661066727213</v>
      </c>
      <c r="G59" s="35">
        <f t="shared" si="8"/>
        <v>119.39078433386311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128.15321340745317</v>
      </c>
      <c r="F60" s="18">
        <f t="shared" si="7"/>
        <v>128.15321340745317</v>
      </c>
      <c r="G60" s="35">
        <f t="shared" si="8"/>
        <v>112.13406173152151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120.36389930347673</v>
      </c>
      <c r="F61" s="18">
        <f t="shared" si="7"/>
        <v>120.36389930347673</v>
      </c>
      <c r="G61" s="35">
        <f t="shared" si="8"/>
        <v>105.31841189054214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113.02860959875511</v>
      </c>
      <c r="F62" s="18">
        <f t="shared" si="7"/>
        <v>113.02860959875511</v>
      </c>
      <c r="G62" s="35">
        <f t="shared" si="8"/>
        <v>98.900033398910722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106.1585880090411</v>
      </c>
      <c r="F63" s="18">
        <f t="shared" si="7"/>
        <v>106.1585880090411</v>
      </c>
      <c r="G63" s="35">
        <f t="shared" si="8"/>
        <v>92.888764507910963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99.706135004932833</v>
      </c>
      <c r="F64" s="18">
        <f t="shared" si="7"/>
        <v>99.706135004932833</v>
      </c>
      <c r="G64" s="35">
        <f t="shared" si="8"/>
        <v>87.242868129316236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4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84.909959281708566</v>
      </c>
      <c r="J71" s="39">
        <f>IF(E51=0,0,IF(E$6=1,(E$4)/(E$5/365)*LN((E$4)/E51)/1000,(E$4)^E$6*((E$4)^(1-E$6)-E51^(1-E$6))/((1-E$6)*E$5/365)/1000))</f>
        <v>84.909959281708566</v>
      </c>
      <c r="K71" s="15">
        <f>I71*E$11</f>
        <v>84.909959281708566</v>
      </c>
      <c r="L71" s="39">
        <f>J71*E$11</f>
        <v>84.909959281708566</v>
      </c>
      <c r="M71" s="15">
        <f t="shared" ref="M71:M85" si="14">IF(K71=0,0,(H93-I93)/H93*K71)</f>
        <v>74.296214371494997</v>
      </c>
      <c r="N71" s="15">
        <f>M71</f>
        <v>74.296214371494997</v>
      </c>
    </row>
    <row r="72" spans="1:14">
      <c r="A72" s="38">
        <f t="shared" si="10"/>
        <v>43101</v>
      </c>
      <c r="B72" s="15">
        <f>IF(E52=0,0,B71)</f>
        <v>4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79.749024757981616</v>
      </c>
      <c r="J72" s="39">
        <f>IF(E52=0,J71,IF(E$6=1,(E$4)/(E$5/365)*LN((E$4)/E52)/1000,(E$4)^E$6*((E$4)^(1-E$6)-E52^(1-E$6))/((1-E$6)*E$5/365)/1000))</f>
        <v>164.65898403969018</v>
      </c>
      <c r="K72" s="15">
        <f t="shared" ref="K72:K85" si="18">I72*E$11</f>
        <v>79.749024757981616</v>
      </c>
      <c r="L72" s="39">
        <f t="shared" ref="L72:L85" si="19">J72*E$11</f>
        <v>164.65898403969018</v>
      </c>
      <c r="M72" s="15">
        <f t="shared" si="14"/>
        <v>69.780396663233915</v>
      </c>
      <c r="N72" s="15">
        <f t="shared" ref="N72:N85" si="20">M72+N71</f>
        <v>144.0766110347289</v>
      </c>
    </row>
    <row r="73" spans="1:14">
      <c r="A73" s="38">
        <f t="shared" si="10"/>
        <v>43466</v>
      </c>
      <c r="B73" s="15">
        <f t="shared" ref="B73:B84" si="21">IF(E53=0,0,B72)</f>
        <v>4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74.901778350272053</v>
      </c>
      <c r="J73" s="39">
        <f t="shared" ref="J73:J84" si="23">IF(E53=0,J72,IF(E$6=1,(E$4)/(E$5/365)*LN((E$4)/E53)/1000,(E$4)^E$6*((E$4)^(1-E$6)-E53^(1-E$6))/((1-E$6)*E$5/365)/1000))</f>
        <v>239.56076238996224</v>
      </c>
      <c r="K73" s="15">
        <f t="shared" si="18"/>
        <v>74.901778350272053</v>
      </c>
      <c r="L73" s="39">
        <f t="shared" si="19"/>
        <v>239.56076238996224</v>
      </c>
      <c r="M73" s="15">
        <f t="shared" si="14"/>
        <v>65.53905605648805</v>
      </c>
      <c r="N73" s="15">
        <f t="shared" si="20"/>
        <v>209.61566709121695</v>
      </c>
    </row>
    <row r="74" spans="1:14">
      <c r="A74" s="38">
        <f t="shared" si="10"/>
        <v>43831</v>
      </c>
      <c r="B74" s="15">
        <f t="shared" si="21"/>
        <v>4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70.535895235962926</v>
      </c>
      <c r="J74" s="39">
        <f t="shared" si="23"/>
        <v>310.09665762592516</v>
      </c>
      <c r="K74" s="15">
        <f t="shared" si="18"/>
        <v>70.535895235962926</v>
      </c>
      <c r="L74" s="39">
        <f t="shared" si="19"/>
        <v>310.09665762592516</v>
      </c>
      <c r="M74" s="15">
        <f t="shared" si="14"/>
        <v>61.71890833146756</v>
      </c>
      <c r="N74" s="15">
        <f t="shared" si="20"/>
        <v>271.33457542268451</v>
      </c>
    </row>
    <row r="75" spans="1:14">
      <c r="A75" s="38">
        <f t="shared" si="10"/>
        <v>44197</v>
      </c>
      <c r="B75" s="15">
        <f t="shared" si="21"/>
        <v>4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66.061892935046728</v>
      </c>
      <c r="J75" s="39">
        <f t="shared" si="23"/>
        <v>376.15855056097189</v>
      </c>
      <c r="K75" s="15">
        <f t="shared" si="18"/>
        <v>66.061892935046728</v>
      </c>
      <c r="L75" s="39">
        <f t="shared" si="19"/>
        <v>376.15855056097189</v>
      </c>
      <c r="M75" s="15">
        <f t="shared" si="14"/>
        <v>57.80415631816588</v>
      </c>
      <c r="N75" s="15">
        <f t="shared" si="20"/>
        <v>329.1387317408504</v>
      </c>
    </row>
    <row r="76" spans="1:14">
      <c r="A76" s="38">
        <f t="shared" si="10"/>
        <v>44562</v>
      </c>
      <c r="B76" s="15">
        <f t="shared" si="21"/>
        <v>4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62.046567679500811</v>
      </c>
      <c r="J76" s="39">
        <f t="shared" si="23"/>
        <v>438.2051182404727</v>
      </c>
      <c r="K76" s="15">
        <f t="shared" si="18"/>
        <v>62.046567679500811</v>
      </c>
      <c r="L76" s="39">
        <f t="shared" si="19"/>
        <v>438.2051182404727</v>
      </c>
      <c r="M76" s="15">
        <f t="shared" si="14"/>
        <v>54.290746719563202</v>
      </c>
      <c r="N76" s="15">
        <f t="shared" si="20"/>
        <v>383.42947846041363</v>
      </c>
    </row>
    <row r="77" spans="1:14">
      <c r="A77" s="38">
        <f t="shared" si="10"/>
        <v>44927</v>
      </c>
      <c r="B77" s="15">
        <f t="shared" si="21"/>
        <v>4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58.275298962323575</v>
      </c>
      <c r="J77" s="39">
        <f t="shared" si="23"/>
        <v>496.48041720279627</v>
      </c>
      <c r="K77" s="15">
        <f t="shared" si="18"/>
        <v>58.275298962323575</v>
      </c>
      <c r="L77" s="39">
        <f t="shared" si="19"/>
        <v>496.48041720279627</v>
      </c>
      <c r="M77" s="15">
        <f t="shared" si="14"/>
        <v>50.990886592033128</v>
      </c>
      <c r="N77" s="15">
        <f t="shared" si="20"/>
        <v>434.42036505244675</v>
      </c>
    </row>
    <row r="78" spans="1:14">
      <c r="A78" s="38">
        <f t="shared" si="10"/>
        <v>45292</v>
      </c>
      <c r="B78" s="15">
        <f t="shared" si="21"/>
        <v>4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54.878541911627849</v>
      </c>
      <c r="J78" s="39">
        <f t="shared" si="23"/>
        <v>551.35895911442412</v>
      </c>
      <c r="K78" s="15">
        <f t="shared" si="18"/>
        <v>54.878541911627849</v>
      </c>
      <c r="L78" s="39">
        <f t="shared" si="19"/>
        <v>551.35895911442412</v>
      </c>
      <c r="M78" s="15">
        <f t="shared" si="14"/>
        <v>48.018724172674361</v>
      </c>
      <c r="N78" s="15">
        <f t="shared" si="20"/>
        <v>482.43908922512111</v>
      </c>
    </row>
    <row r="79" spans="1:14">
      <c r="A79" s="38">
        <f t="shared" si="10"/>
        <v>45658</v>
      </c>
      <c r="B79" s="15">
        <f t="shared" si="21"/>
        <v>4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51.397665657598964</v>
      </c>
      <c r="J79" s="39">
        <f t="shared" si="23"/>
        <v>602.75662477202309</v>
      </c>
      <c r="K79" s="15">
        <f t="shared" si="18"/>
        <v>51.397665657598964</v>
      </c>
      <c r="L79" s="39">
        <f t="shared" si="19"/>
        <v>602.75662477202309</v>
      </c>
      <c r="M79" s="15">
        <f t="shared" si="14"/>
        <v>44.972957450399093</v>
      </c>
      <c r="N79" s="15">
        <f t="shared" si="20"/>
        <v>527.41204667552017</v>
      </c>
    </row>
    <row r="80" spans="1:14">
      <c r="A80" s="38">
        <f t="shared" si="10"/>
        <v>46023</v>
      </c>
      <c r="B80" s="15">
        <f t="shared" si="21"/>
        <v>4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48.273650649521755</v>
      </c>
      <c r="J80" s="39">
        <f t="shared" si="23"/>
        <v>651.03027542154484</v>
      </c>
      <c r="K80" s="15">
        <f t="shared" si="18"/>
        <v>48.273650649521755</v>
      </c>
      <c r="L80" s="39">
        <f t="shared" si="19"/>
        <v>651.03027542154484</v>
      </c>
      <c r="M80" s="15">
        <f t="shared" si="14"/>
        <v>42.239444318331536</v>
      </c>
      <c r="N80" s="15">
        <f t="shared" si="20"/>
        <v>569.65149099385167</v>
      </c>
    </row>
    <row r="81" spans="1:18">
      <c r="A81" s="38">
        <f t="shared" si="10"/>
        <v>46388</v>
      </c>
      <c r="B81" s="15">
        <f t="shared" si="21"/>
        <v>4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45.339517217695516</v>
      </c>
      <c r="J81" s="39">
        <f t="shared" si="23"/>
        <v>696.36979263924036</v>
      </c>
      <c r="K81" s="15">
        <f t="shared" si="18"/>
        <v>45.339517217695516</v>
      </c>
      <c r="L81" s="39">
        <f t="shared" si="19"/>
        <v>696.36979263924036</v>
      </c>
      <c r="M81" s="15">
        <f t="shared" si="14"/>
        <v>39.672077565483576</v>
      </c>
      <c r="N81" s="15">
        <f t="shared" si="20"/>
        <v>609.32356855933529</v>
      </c>
    </row>
    <row r="82" spans="1:18">
      <c r="A82" s="38">
        <f t="shared" si="10"/>
        <v>46753</v>
      </c>
      <c r="B82" s="15">
        <f t="shared" si="21"/>
        <v>4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42.696762439484928</v>
      </c>
      <c r="J82" s="39">
        <f t="shared" si="23"/>
        <v>739.06655507872529</v>
      </c>
      <c r="K82" s="15">
        <f t="shared" si="18"/>
        <v>42.696762439484928</v>
      </c>
      <c r="L82" s="39">
        <f t="shared" si="19"/>
        <v>739.06655507872529</v>
      </c>
      <c r="M82" s="15">
        <f t="shared" si="14"/>
        <v>37.359667134549312</v>
      </c>
      <c r="N82" s="15">
        <f t="shared" si="20"/>
        <v>646.68323569388463</v>
      </c>
    </row>
    <row r="83" spans="1:18">
      <c r="A83" s="38">
        <f t="shared" si="10"/>
        <v>47119</v>
      </c>
      <c r="B83" s="15">
        <f t="shared" si="21"/>
        <v>4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39.988560994576801</v>
      </c>
      <c r="J83" s="39">
        <f t="shared" si="23"/>
        <v>779.05511607330209</v>
      </c>
      <c r="K83" s="15">
        <f t="shared" si="18"/>
        <v>39.988560994576801</v>
      </c>
      <c r="L83" s="39">
        <f t="shared" si="19"/>
        <v>779.05511607330209</v>
      </c>
      <c r="M83" s="15">
        <f t="shared" si="14"/>
        <v>34.989990870254701</v>
      </c>
      <c r="N83" s="15">
        <f t="shared" si="20"/>
        <v>681.67322656413933</v>
      </c>
    </row>
    <row r="84" spans="1:18">
      <c r="A84" s="38">
        <f t="shared" si="10"/>
        <v>47484</v>
      </c>
      <c r="B84" s="15">
        <f t="shared" si="21"/>
        <v>4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37.55800577188063</v>
      </c>
      <c r="J84" s="39">
        <f t="shared" si="23"/>
        <v>816.61312184518272</v>
      </c>
      <c r="K84" s="15">
        <f t="shared" si="18"/>
        <v>37.55800577188063</v>
      </c>
      <c r="L84" s="39">
        <f t="shared" si="19"/>
        <v>816.61312184518272</v>
      </c>
      <c r="M84" s="15">
        <f t="shared" si="14"/>
        <v>32.863255050395551</v>
      </c>
      <c r="N84" s="15">
        <f t="shared" si="20"/>
        <v>714.53648161453486</v>
      </c>
    </row>
    <row r="85" spans="1:18">
      <c r="A85" s="38">
        <f t="shared" si="10"/>
        <v>47849</v>
      </c>
      <c r="B85" s="15">
        <f>IF(E64=0,0,B84)</f>
        <v>4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71.522138007461422</v>
      </c>
      <c r="J85" s="39">
        <f>IF(E64=0,J84,IF(E$6=1,(E$4)/(E$5/365)*LN((E$4)/E7)/1000,(E$4)^E$6*((E$4)^(1-E$6)-E7^(1-E$6))/((1-E$6)*E$5/365)/1000))</f>
        <v>888.13525985264414</v>
      </c>
      <c r="K85" s="15">
        <f t="shared" si="18"/>
        <v>71.522138007461422</v>
      </c>
      <c r="L85" s="39">
        <f t="shared" si="19"/>
        <v>888.13525985264414</v>
      </c>
      <c r="M85" s="15">
        <f t="shared" si="14"/>
        <v>62.581870756528744</v>
      </c>
      <c r="N85" s="15">
        <f t="shared" si="20"/>
        <v>777.11835237106357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1680</v>
      </c>
      <c r="N92" s="41">
        <f t="shared" ref="N92:N107" si="24">L92-M92</f>
        <v>-1680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413.67129620666805</v>
      </c>
      <c r="I93" s="41">
        <f t="shared" ref="I93:I107" si="28">E71*K50*E$27+E71*(K50-E$14)*G$27+K71*L50*E$27+K71*(L50-E$15)*G$27+D93*M50*(E$27+G$27)/1000</f>
        <v>51.708912025833506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162.45497964085428</v>
      </c>
      <c r="L93" s="41">
        <f t="shared" ref="L93:L107" si="30">H93+J93-I93-K93</f>
        <v>199.50740453998026</v>
      </c>
      <c r="M93" s="41">
        <f t="shared" ref="M93:M105" si="31">IF(B72&lt;B71,E$25*(1+E$22/365)^(A50-A$50),0)</f>
        <v>0</v>
      </c>
      <c r="N93" s="41">
        <f t="shared" si="24"/>
        <v>199.50740453998026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358.71442628209138</v>
      </c>
      <c r="I94" s="41">
        <f t="shared" si="28"/>
        <v>44.839303285261423</v>
      </c>
      <c r="J94" s="41">
        <f t="shared" si="29"/>
        <v>0</v>
      </c>
      <c r="K94" s="41">
        <f>IF(H94=0,0,((B72*E$16+E$19)*12+E72*(E$17+E$20)+K72*(E$18+E$21))*(1+E$22)^((A51-A$50)/365))</f>
        <v>163.07200262657062</v>
      </c>
      <c r="L94" s="41">
        <f t="shared" si="30"/>
        <v>150.80312037025936</v>
      </c>
      <c r="M94" s="41">
        <f t="shared" si="31"/>
        <v>0</v>
      </c>
      <c r="N94" s="41">
        <f t="shared" si="24"/>
        <v>150.80312037025936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340.59610683288645</v>
      </c>
      <c r="I95" s="41">
        <f t="shared" si="28"/>
        <v>42.574513354110806</v>
      </c>
      <c r="J95" s="41">
        <f t="shared" si="29"/>
        <v>0</v>
      </c>
      <c r="K95" s="41">
        <f t="shared" ref="K95:K107" si="32">IF(H95=0,0,((B73*E$16+E$19)*12+E73*(E$17+E$20)+K73*(E$18+E$21))*(1+E$22)^((A52-A$50)/365))</f>
        <v>163.81190509781152</v>
      </c>
      <c r="L95" s="41">
        <f t="shared" si="30"/>
        <v>134.20968838096411</v>
      </c>
      <c r="M95" s="41">
        <f t="shared" si="31"/>
        <v>0</v>
      </c>
      <c r="N95" s="41">
        <f t="shared" si="24"/>
        <v>134.20968838096411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339.12011370047361</v>
      </c>
      <c r="I96" s="41">
        <f t="shared" si="28"/>
        <v>42.390014212559201</v>
      </c>
      <c r="J96" s="41">
        <f t="shared" si="29"/>
        <v>0</v>
      </c>
      <c r="K96" s="41">
        <f t="shared" si="32"/>
        <v>164.77158815578287</v>
      </c>
      <c r="L96" s="41">
        <f t="shared" si="30"/>
        <v>131.95851133213154</v>
      </c>
      <c r="M96" s="41">
        <f t="shared" si="31"/>
        <v>0</v>
      </c>
      <c r="N96" s="41">
        <f t="shared" si="24"/>
        <v>131.95851133213154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327.54856430754057</v>
      </c>
      <c r="I97" s="41">
        <f t="shared" si="28"/>
        <v>40.943570538442572</v>
      </c>
      <c r="J97" s="41">
        <f t="shared" si="29"/>
        <v>0</v>
      </c>
      <c r="K97" s="41">
        <f t="shared" si="32"/>
        <v>165.65460507529903</v>
      </c>
      <c r="L97" s="41">
        <f t="shared" si="30"/>
        <v>120.95038869379894</v>
      </c>
      <c r="M97" s="41">
        <f t="shared" si="31"/>
        <v>0</v>
      </c>
      <c r="N97" s="41">
        <f t="shared" si="24"/>
        <v>120.95038869379894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316.84656468260232</v>
      </c>
      <c r="I98" s="41">
        <f t="shared" si="28"/>
        <v>39.60582058532529</v>
      </c>
      <c r="J98" s="41">
        <f t="shared" si="29"/>
        <v>0</v>
      </c>
      <c r="K98" s="41">
        <f t="shared" si="32"/>
        <v>166.75095514682141</v>
      </c>
      <c r="L98" s="41">
        <f t="shared" si="30"/>
        <v>110.48978895045559</v>
      </c>
      <c r="M98" s="41">
        <f t="shared" si="31"/>
        <v>0</v>
      </c>
      <c r="N98" s="41">
        <f t="shared" si="24"/>
        <v>110.48978895045559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306.2647470783923</v>
      </c>
      <c r="I99" s="41">
        <f t="shared" si="28"/>
        <v>38.283093384799038</v>
      </c>
      <c r="J99" s="41">
        <f t="shared" si="29"/>
        <v>0</v>
      </c>
      <c r="K99" s="41">
        <f t="shared" si="32"/>
        <v>167.96232848597168</v>
      </c>
      <c r="L99" s="41">
        <f t="shared" si="30"/>
        <v>100.01932520762159</v>
      </c>
      <c r="M99" s="41">
        <f t="shared" si="31"/>
        <v>0</v>
      </c>
      <c r="N99" s="41">
        <f t="shared" si="24"/>
        <v>100.01932520762159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295.93573514582459</v>
      </c>
      <c r="I100" s="41">
        <f t="shared" si="28"/>
        <v>36.991966893228074</v>
      </c>
      <c r="J100" s="41">
        <f t="shared" si="29"/>
        <v>0</v>
      </c>
      <c r="K100" s="41">
        <f t="shared" si="32"/>
        <v>169.37056613865633</v>
      </c>
      <c r="L100" s="41">
        <f t="shared" si="30"/>
        <v>89.57320211394017</v>
      </c>
      <c r="M100" s="41">
        <f t="shared" si="31"/>
        <v>0</v>
      </c>
      <c r="N100" s="41">
        <f t="shared" si="24"/>
        <v>89.57320211394017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282.02017351553644</v>
      </c>
      <c r="I101" s="41">
        <f t="shared" si="28"/>
        <v>35.252521689442055</v>
      </c>
      <c r="J101" s="41">
        <f t="shared" si="29"/>
        <v>0</v>
      </c>
      <c r="K101" s="41">
        <f t="shared" si="32"/>
        <v>170.72792854861632</v>
      </c>
      <c r="L101" s="41">
        <f t="shared" si="30"/>
        <v>76.03972327747806</v>
      </c>
      <c r="M101" s="41">
        <f t="shared" si="31"/>
        <v>0</v>
      </c>
      <c r="N101" s="41">
        <f t="shared" si="24"/>
        <v>76.03972327747806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270.3837348186575</v>
      </c>
      <c r="I102" s="41">
        <f t="shared" si="28"/>
        <v>33.797966852332188</v>
      </c>
      <c r="J102" s="41">
        <f t="shared" si="29"/>
        <v>0</v>
      </c>
      <c r="K102" s="41">
        <f t="shared" si="32"/>
        <v>172.27554099262574</v>
      </c>
      <c r="L102" s="41">
        <f t="shared" si="30"/>
        <v>64.310226973699571</v>
      </c>
      <c r="M102" s="41">
        <f t="shared" si="31"/>
        <v>0</v>
      </c>
      <c r="N102" s="41">
        <f t="shared" si="24"/>
        <v>64.310226973699571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259.16470427607129</v>
      </c>
      <c r="I103" s="41">
        <f t="shared" si="28"/>
        <v>32.395588034508911</v>
      </c>
      <c r="J103" s="41">
        <f t="shared" si="29"/>
        <v>0</v>
      </c>
      <c r="K103" s="41">
        <f t="shared" si="32"/>
        <v>173.93251161243927</v>
      </c>
      <c r="L103" s="41">
        <f t="shared" si="30"/>
        <v>52.836604629123116</v>
      </c>
      <c r="M103" s="41">
        <f t="shared" si="31"/>
        <v>0</v>
      </c>
      <c r="N103" s="41">
        <f t="shared" si="24"/>
        <v>52.836604629123116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249.04164588999814</v>
      </c>
      <c r="I104" s="41">
        <f t="shared" si="28"/>
        <v>31.130205736249767</v>
      </c>
      <c r="J104" s="41">
        <f t="shared" si="29"/>
        <v>0</v>
      </c>
      <c r="K104" s="41">
        <f t="shared" si="32"/>
        <v>175.7680168634227</v>
      </c>
      <c r="L104" s="41">
        <f t="shared" si="30"/>
        <v>42.143423290325671</v>
      </c>
      <c r="M104" s="41">
        <f t="shared" si="31"/>
        <v>0</v>
      </c>
      <c r="N104" s="41">
        <f t="shared" si="24"/>
        <v>42.143423290325671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237.36499428342555</v>
      </c>
      <c r="I105" s="41">
        <f t="shared" si="28"/>
        <v>29.670624285428193</v>
      </c>
      <c r="J105" s="41">
        <f t="shared" si="29"/>
        <v>0</v>
      </c>
      <c r="K105" s="41">
        <f t="shared" si="32"/>
        <v>177.5754975968344</v>
      </c>
      <c r="L105" s="41">
        <f t="shared" si="30"/>
        <v>30.118872401162946</v>
      </c>
      <c r="M105" s="41">
        <f t="shared" si="31"/>
        <v>0</v>
      </c>
      <c r="N105" s="41">
        <f t="shared" si="24"/>
        <v>30.118872401162946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227.45140480535002</v>
      </c>
      <c r="I106" s="41">
        <f t="shared" si="28"/>
        <v>28.431425600668753</v>
      </c>
      <c r="J106" s="41">
        <f t="shared" si="29"/>
        <v>0</v>
      </c>
      <c r="K106" s="41">
        <f t="shared" si="32"/>
        <v>179.55466047642935</v>
      </c>
      <c r="L106" s="41">
        <f t="shared" si="30"/>
        <v>19.46531872825193</v>
      </c>
      <c r="M106" s="41">
        <f>IF(B85&lt;B84,E$25*(1+E$22/365)^(A63-A$50),0)</f>
        <v>0</v>
      </c>
      <c r="N106" s="41">
        <f t="shared" si="24"/>
        <v>19.46531872825193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441.86173256169337</v>
      </c>
      <c r="I107" s="41">
        <f t="shared" si="28"/>
        <v>55.232716570211672</v>
      </c>
      <c r="J107" s="41">
        <f t="shared" si="29"/>
        <v>0</v>
      </c>
      <c r="K107" s="41">
        <f t="shared" si="32"/>
        <v>205.55687664844021</v>
      </c>
      <c r="L107" s="41">
        <f t="shared" si="30"/>
        <v>181.0721393430415</v>
      </c>
      <c r="M107" s="41">
        <f>IF(B86&lt;B85,E$25*(1+E$22/365)^(A64-A$50),0)</f>
        <v>152.18377498137474</v>
      </c>
      <c r="N107" s="41">
        <f t="shared" si="24"/>
        <v>28.88836436166676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4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482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75">
        <f>'Sil Clint Gas'!I48</f>
        <v>240</v>
      </c>
      <c r="F4" s="14" t="s">
        <v>212</v>
      </c>
      <c r="G4" s="15"/>
    </row>
    <row r="5" spans="1:21" ht="15.75">
      <c r="A5" s="14" t="s">
        <v>184</v>
      </c>
      <c r="B5" s="14"/>
      <c r="E5" s="26">
        <f>'Sil Clint Gas'!I49</f>
        <v>6.270687961453994E-2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'Sil Clint Gas'!I50</f>
        <v>87.418655284909832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'Sil Clint Gas'!G44</f>
        <v>2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'Sil Clint Gas'!I57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'Sil Clint Gas'!I56</f>
        <v>0.5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'Sil Clint Gas'!I46</f>
        <v>1680</v>
      </c>
      <c r="F24" s="12" t="s">
        <v>195</v>
      </c>
    </row>
    <row r="25" spans="1:21">
      <c r="B25" s="12" t="s">
        <v>193</v>
      </c>
      <c r="E25" s="42">
        <f>'Sil Clint Gas'!I58+'Sil Clint Gas'!I59</f>
        <v>115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-328.6860367491405</v>
      </c>
      <c r="D32" s="12" t="s">
        <v>58</v>
      </c>
      <c r="E32" s="84">
        <f>C32/E$24</f>
        <v>-0.19564645044591697</v>
      </c>
    </row>
    <row r="33" spans="1:19">
      <c r="A33" s="26">
        <v>0.05</v>
      </c>
      <c r="B33" s="12" t="s">
        <v>128</v>
      </c>
      <c r="C33" s="29">
        <f t="shared" ref="C33:C37" si="0">NPV(A33,N$92:N$107)</f>
        <v>-606.88620652586349</v>
      </c>
      <c r="D33" s="12" t="s">
        <v>58</v>
      </c>
      <c r="E33" s="84">
        <f t="shared" ref="E33:E37" si="1">C33/E$24</f>
        <v>-0.36124178959872827</v>
      </c>
    </row>
    <row r="34" spans="1:19">
      <c r="A34" s="26">
        <v>0.1</v>
      </c>
      <c r="B34" s="12" t="s">
        <v>128</v>
      </c>
      <c r="C34" s="29">
        <f t="shared" si="0"/>
        <v>-766.08967433196892</v>
      </c>
      <c r="D34" s="12" t="s">
        <v>58</v>
      </c>
      <c r="E34" s="84">
        <f t="shared" si="1"/>
        <v>-0.45600575853093389</v>
      </c>
    </row>
    <row r="35" spans="1:19">
      <c r="A35" s="26">
        <v>0.125</v>
      </c>
      <c r="B35" s="12" t="s">
        <v>128</v>
      </c>
      <c r="C35" s="29">
        <f t="shared" si="0"/>
        <v>-818.15404420979019</v>
      </c>
      <c r="D35" s="12" t="s">
        <v>58</v>
      </c>
      <c r="E35" s="84">
        <f t="shared" si="1"/>
        <v>-0.48699645488677989</v>
      </c>
      <c r="F35" s="14"/>
    </row>
    <row r="36" spans="1:19">
      <c r="A36" s="26">
        <v>0.15</v>
      </c>
      <c r="B36" s="12" t="s">
        <v>128</v>
      </c>
      <c r="C36" s="29">
        <f t="shared" si="0"/>
        <v>-857.45017777564408</v>
      </c>
      <c r="D36" s="12" t="s">
        <v>58</v>
      </c>
      <c r="E36" s="84">
        <f t="shared" si="1"/>
        <v>-0.51038701058074054</v>
      </c>
      <c r="F36" s="14"/>
    </row>
    <row r="37" spans="1:19">
      <c r="A37" s="26">
        <v>0.2</v>
      </c>
      <c r="B37" s="12" t="s">
        <v>128</v>
      </c>
      <c r="C37" s="29">
        <f t="shared" si="0"/>
        <v>-908.49290626555637</v>
      </c>
      <c r="D37" s="12" t="s">
        <v>58</v>
      </c>
      <c r="E37" s="84">
        <f t="shared" si="1"/>
        <v>-0.54076958706283118</v>
      </c>
      <c r="F37" s="14"/>
    </row>
    <row r="38" spans="1:19">
      <c r="A38" s="12" t="s">
        <v>197</v>
      </c>
      <c r="C38" s="25">
        <f>IF(SUM(N92:N107)&lt;0,0,IRR(N92:N107))</f>
        <v>0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888.13525985264414</v>
      </c>
      <c r="I41" s="14" t="s">
        <v>135</v>
      </c>
      <c r="J41" s="33">
        <f>C107</f>
        <v>0</v>
      </c>
      <c r="K41" s="14" t="s">
        <v>136</v>
      </c>
      <c r="L41" s="33">
        <f>F41+H41/E$42+J41</f>
        <v>148.02254330877403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240</v>
      </c>
      <c r="F50" s="18">
        <f>E50*E$11</f>
        <v>240</v>
      </c>
      <c r="G50" s="35">
        <f>F50*(1-$E$27)</f>
        <v>210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225.4124970006751</v>
      </c>
      <c r="F51" s="18">
        <f t="shared" ref="F51:F64" si="7">E51*E$11</f>
        <v>225.4124970006751</v>
      </c>
      <c r="G51" s="35">
        <f t="shared" ref="G51:G64" si="8">F51*(1-$E$27)</f>
        <v>197.23593487559071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211.71164085033067</v>
      </c>
      <c r="F52" s="18">
        <f t="shared" si="7"/>
        <v>211.71164085033067</v>
      </c>
      <c r="G52" s="35">
        <f t="shared" si="8"/>
        <v>185.24768574403933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198.84354003409652</v>
      </c>
      <c r="F53" s="18">
        <f t="shared" si="7"/>
        <v>198.84354003409652</v>
      </c>
      <c r="G53" s="35">
        <f t="shared" si="8"/>
        <v>173.98809752983445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186.72549649693124</v>
      </c>
      <c r="F54" s="18">
        <f t="shared" si="7"/>
        <v>186.72549649693124</v>
      </c>
      <c r="G54" s="35">
        <f t="shared" si="8"/>
        <v>163.38480943481483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175.37608507943369</v>
      </c>
      <c r="F55" s="18">
        <f t="shared" si="7"/>
        <v>175.37608507943369</v>
      </c>
      <c r="G55" s="35">
        <f t="shared" si="8"/>
        <v>153.45407444450447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164.71650521649161</v>
      </c>
      <c r="F56" s="18">
        <f t="shared" si="7"/>
        <v>164.71650521649161</v>
      </c>
      <c r="G56" s="35">
        <f t="shared" si="8"/>
        <v>144.12694206443015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154.70482807530874</v>
      </c>
      <c r="F57" s="18">
        <f t="shared" si="7"/>
        <v>154.70482807530874</v>
      </c>
      <c r="G57" s="35">
        <f t="shared" si="8"/>
        <v>135.36672456589514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145.27671267510618</v>
      </c>
      <c r="F58" s="18">
        <f t="shared" si="7"/>
        <v>145.27671267510618</v>
      </c>
      <c r="G58" s="35">
        <f t="shared" si="8"/>
        <v>127.11712359071791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136.44661066727213</v>
      </c>
      <c r="F59" s="18">
        <f t="shared" si="7"/>
        <v>136.44661066727213</v>
      </c>
      <c r="G59" s="35">
        <f t="shared" si="8"/>
        <v>119.39078433386311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128.15321340745317</v>
      </c>
      <c r="F60" s="18">
        <f t="shared" si="7"/>
        <v>128.15321340745317</v>
      </c>
      <c r="G60" s="35">
        <f t="shared" si="8"/>
        <v>112.13406173152151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120.36389930347673</v>
      </c>
      <c r="F61" s="18">
        <f t="shared" si="7"/>
        <v>120.36389930347673</v>
      </c>
      <c r="G61" s="35">
        <f t="shared" si="8"/>
        <v>105.31841189054214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113.02860959875511</v>
      </c>
      <c r="F62" s="18">
        <f t="shared" si="7"/>
        <v>113.02860959875511</v>
      </c>
      <c r="G62" s="35">
        <f t="shared" si="8"/>
        <v>98.900033398910722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106.1585880090411</v>
      </c>
      <c r="F63" s="18">
        <f t="shared" si="7"/>
        <v>106.1585880090411</v>
      </c>
      <c r="G63" s="35">
        <f t="shared" si="8"/>
        <v>92.888764507910963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99.706135004932833</v>
      </c>
      <c r="F64" s="18">
        <f t="shared" si="7"/>
        <v>99.706135004932833</v>
      </c>
      <c r="G64" s="35">
        <f t="shared" si="8"/>
        <v>87.242868129316236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2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84.909959281708566</v>
      </c>
      <c r="J71" s="39">
        <f>IF(E51=0,0,IF(E$6=1,(E$4)/(E$5/365)*LN((E$4)/E51)/1000,(E$4)^E$6*((E$4)^(1-E$6)-E51^(1-E$6))/((1-E$6)*E$5/365)/1000))</f>
        <v>84.909959281708566</v>
      </c>
      <c r="K71" s="15">
        <f>I71*E$11</f>
        <v>84.909959281708566</v>
      </c>
      <c r="L71" s="39">
        <f>J71*E$11</f>
        <v>84.909959281708566</v>
      </c>
      <c r="M71" s="15">
        <f t="shared" ref="M71:M85" si="14">IF(K71=0,0,(H93-I93)/H93*K71)</f>
        <v>74.296214371494997</v>
      </c>
      <c r="N71" s="15">
        <f>M71</f>
        <v>74.296214371494997</v>
      </c>
    </row>
    <row r="72" spans="1:14">
      <c r="A72" s="38">
        <f t="shared" si="10"/>
        <v>43101</v>
      </c>
      <c r="B72" s="15">
        <f>IF(E52=0,0,B71)</f>
        <v>2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79.749024757981616</v>
      </c>
      <c r="J72" s="39">
        <f>IF(E52=0,J71,IF(E$6=1,(E$4)/(E$5/365)*LN((E$4)/E52)/1000,(E$4)^E$6*((E$4)^(1-E$6)-E52^(1-E$6))/((1-E$6)*E$5/365)/1000))</f>
        <v>164.65898403969018</v>
      </c>
      <c r="K72" s="15">
        <f t="shared" ref="K72:K85" si="18">I72*E$11</f>
        <v>79.749024757981616</v>
      </c>
      <c r="L72" s="39">
        <f t="shared" ref="L72:L85" si="19">J72*E$11</f>
        <v>164.65898403969018</v>
      </c>
      <c r="M72" s="15">
        <f t="shared" si="14"/>
        <v>69.780396663233915</v>
      </c>
      <c r="N72" s="15">
        <f t="shared" ref="N72:N85" si="20">M72+N71</f>
        <v>144.0766110347289</v>
      </c>
    </row>
    <row r="73" spans="1:14">
      <c r="A73" s="38">
        <f t="shared" si="10"/>
        <v>43466</v>
      </c>
      <c r="B73" s="15">
        <f t="shared" ref="B73:B84" si="21">IF(E53=0,0,B72)</f>
        <v>2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74.901778350272053</v>
      </c>
      <c r="J73" s="39">
        <f t="shared" ref="J73:J84" si="23">IF(E53=0,J72,IF(E$6=1,(E$4)/(E$5/365)*LN((E$4)/E53)/1000,(E$4)^E$6*((E$4)^(1-E$6)-E53^(1-E$6))/((1-E$6)*E$5/365)/1000))</f>
        <v>239.56076238996224</v>
      </c>
      <c r="K73" s="15">
        <f t="shared" si="18"/>
        <v>74.901778350272053</v>
      </c>
      <c r="L73" s="39">
        <f t="shared" si="19"/>
        <v>239.56076238996224</v>
      </c>
      <c r="M73" s="15">
        <f t="shared" si="14"/>
        <v>65.53905605648805</v>
      </c>
      <c r="N73" s="15">
        <f t="shared" si="20"/>
        <v>209.61566709121695</v>
      </c>
    </row>
    <row r="74" spans="1:14">
      <c r="A74" s="38">
        <f t="shared" si="10"/>
        <v>43831</v>
      </c>
      <c r="B74" s="15">
        <f t="shared" si="21"/>
        <v>2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70.535895235962926</v>
      </c>
      <c r="J74" s="39">
        <f t="shared" si="23"/>
        <v>310.09665762592516</v>
      </c>
      <c r="K74" s="15">
        <f t="shared" si="18"/>
        <v>70.535895235962926</v>
      </c>
      <c r="L74" s="39">
        <f t="shared" si="19"/>
        <v>310.09665762592516</v>
      </c>
      <c r="M74" s="15">
        <f t="shared" si="14"/>
        <v>61.71890833146756</v>
      </c>
      <c r="N74" s="15">
        <f t="shared" si="20"/>
        <v>271.33457542268451</v>
      </c>
    </row>
    <row r="75" spans="1:14">
      <c r="A75" s="38">
        <f t="shared" si="10"/>
        <v>44197</v>
      </c>
      <c r="B75" s="15">
        <f t="shared" si="21"/>
        <v>2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66.061892935046728</v>
      </c>
      <c r="J75" s="39">
        <f t="shared" si="23"/>
        <v>376.15855056097189</v>
      </c>
      <c r="K75" s="15">
        <f t="shared" si="18"/>
        <v>66.061892935046728</v>
      </c>
      <c r="L75" s="39">
        <f t="shared" si="19"/>
        <v>376.15855056097189</v>
      </c>
      <c r="M75" s="15">
        <f t="shared" si="14"/>
        <v>57.80415631816588</v>
      </c>
      <c r="N75" s="15">
        <f t="shared" si="20"/>
        <v>329.1387317408504</v>
      </c>
    </row>
    <row r="76" spans="1:14">
      <c r="A76" s="38">
        <f t="shared" si="10"/>
        <v>44562</v>
      </c>
      <c r="B76" s="15">
        <f t="shared" si="21"/>
        <v>2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62.046567679500811</v>
      </c>
      <c r="J76" s="39">
        <f t="shared" si="23"/>
        <v>438.2051182404727</v>
      </c>
      <c r="K76" s="15">
        <f t="shared" si="18"/>
        <v>62.046567679500811</v>
      </c>
      <c r="L76" s="39">
        <f t="shared" si="19"/>
        <v>438.2051182404727</v>
      </c>
      <c r="M76" s="15">
        <f t="shared" si="14"/>
        <v>54.290746719563202</v>
      </c>
      <c r="N76" s="15">
        <f t="shared" si="20"/>
        <v>383.42947846041363</v>
      </c>
    </row>
    <row r="77" spans="1:14">
      <c r="A77" s="38">
        <f t="shared" si="10"/>
        <v>44927</v>
      </c>
      <c r="B77" s="15">
        <f t="shared" si="21"/>
        <v>2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58.275298962323575</v>
      </c>
      <c r="J77" s="39">
        <f t="shared" si="23"/>
        <v>496.48041720279627</v>
      </c>
      <c r="K77" s="15">
        <f t="shared" si="18"/>
        <v>58.275298962323575</v>
      </c>
      <c r="L77" s="39">
        <f t="shared" si="19"/>
        <v>496.48041720279627</v>
      </c>
      <c r="M77" s="15">
        <f t="shared" si="14"/>
        <v>50.990886592033128</v>
      </c>
      <c r="N77" s="15">
        <f t="shared" si="20"/>
        <v>434.42036505244675</v>
      </c>
    </row>
    <row r="78" spans="1:14">
      <c r="A78" s="38">
        <f t="shared" si="10"/>
        <v>45292</v>
      </c>
      <c r="B78" s="15">
        <f t="shared" si="21"/>
        <v>2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54.878541911627849</v>
      </c>
      <c r="J78" s="39">
        <f t="shared" si="23"/>
        <v>551.35895911442412</v>
      </c>
      <c r="K78" s="15">
        <f t="shared" si="18"/>
        <v>54.878541911627849</v>
      </c>
      <c r="L78" s="39">
        <f t="shared" si="19"/>
        <v>551.35895911442412</v>
      </c>
      <c r="M78" s="15">
        <f t="shared" si="14"/>
        <v>48.018724172674361</v>
      </c>
      <c r="N78" s="15">
        <f t="shared" si="20"/>
        <v>482.43908922512111</v>
      </c>
    </row>
    <row r="79" spans="1:14">
      <c r="A79" s="38">
        <f t="shared" si="10"/>
        <v>45658</v>
      </c>
      <c r="B79" s="15">
        <f t="shared" si="21"/>
        <v>2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51.397665657598964</v>
      </c>
      <c r="J79" s="39">
        <f t="shared" si="23"/>
        <v>602.75662477202309</v>
      </c>
      <c r="K79" s="15">
        <f t="shared" si="18"/>
        <v>51.397665657598964</v>
      </c>
      <c r="L79" s="39">
        <f t="shared" si="19"/>
        <v>602.75662477202309</v>
      </c>
      <c r="M79" s="15">
        <f t="shared" si="14"/>
        <v>44.972957450399093</v>
      </c>
      <c r="N79" s="15">
        <f t="shared" si="20"/>
        <v>527.41204667552017</v>
      </c>
    </row>
    <row r="80" spans="1:14">
      <c r="A80" s="38">
        <f t="shared" si="10"/>
        <v>46023</v>
      </c>
      <c r="B80" s="15">
        <f t="shared" si="21"/>
        <v>2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48.273650649521755</v>
      </c>
      <c r="J80" s="39">
        <f t="shared" si="23"/>
        <v>651.03027542154484</v>
      </c>
      <c r="K80" s="15">
        <f t="shared" si="18"/>
        <v>48.273650649521755</v>
      </c>
      <c r="L80" s="39">
        <f t="shared" si="19"/>
        <v>651.03027542154484</v>
      </c>
      <c r="M80" s="15">
        <f t="shared" si="14"/>
        <v>42.239444318331536</v>
      </c>
      <c r="N80" s="15">
        <f t="shared" si="20"/>
        <v>569.65149099385167</v>
      </c>
    </row>
    <row r="81" spans="1:18">
      <c r="A81" s="38">
        <f t="shared" si="10"/>
        <v>46388</v>
      </c>
      <c r="B81" s="15">
        <f t="shared" si="21"/>
        <v>2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45.339517217695516</v>
      </c>
      <c r="J81" s="39">
        <f t="shared" si="23"/>
        <v>696.36979263924036</v>
      </c>
      <c r="K81" s="15">
        <f t="shared" si="18"/>
        <v>45.339517217695516</v>
      </c>
      <c r="L81" s="39">
        <f t="shared" si="19"/>
        <v>696.36979263924036</v>
      </c>
      <c r="M81" s="15">
        <f t="shared" si="14"/>
        <v>39.672077565483576</v>
      </c>
      <c r="N81" s="15">
        <f t="shared" si="20"/>
        <v>609.32356855933529</v>
      </c>
    </row>
    <row r="82" spans="1:18">
      <c r="A82" s="38">
        <f t="shared" si="10"/>
        <v>46753</v>
      </c>
      <c r="B82" s="15">
        <f t="shared" si="21"/>
        <v>2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42.696762439484928</v>
      </c>
      <c r="J82" s="39">
        <f t="shared" si="23"/>
        <v>739.06655507872529</v>
      </c>
      <c r="K82" s="15">
        <f t="shared" si="18"/>
        <v>42.696762439484928</v>
      </c>
      <c r="L82" s="39">
        <f t="shared" si="19"/>
        <v>739.06655507872529</v>
      </c>
      <c r="M82" s="15">
        <f t="shared" si="14"/>
        <v>37.359667134549312</v>
      </c>
      <c r="N82" s="15">
        <f t="shared" si="20"/>
        <v>646.68323569388463</v>
      </c>
    </row>
    <row r="83" spans="1:18">
      <c r="A83" s="38">
        <f t="shared" si="10"/>
        <v>47119</v>
      </c>
      <c r="B83" s="15">
        <f t="shared" si="21"/>
        <v>2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39.988560994576801</v>
      </c>
      <c r="J83" s="39">
        <f t="shared" si="23"/>
        <v>779.05511607330209</v>
      </c>
      <c r="K83" s="15">
        <f t="shared" si="18"/>
        <v>39.988560994576801</v>
      </c>
      <c r="L83" s="39">
        <f t="shared" si="19"/>
        <v>779.05511607330209</v>
      </c>
      <c r="M83" s="15">
        <f t="shared" si="14"/>
        <v>34.989990870254701</v>
      </c>
      <c r="N83" s="15">
        <f t="shared" si="20"/>
        <v>681.67322656413933</v>
      </c>
    </row>
    <row r="84" spans="1:18">
      <c r="A84" s="38">
        <f t="shared" si="10"/>
        <v>47484</v>
      </c>
      <c r="B84" s="15">
        <f t="shared" si="21"/>
        <v>2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37.55800577188063</v>
      </c>
      <c r="J84" s="39">
        <f t="shared" si="23"/>
        <v>816.61312184518272</v>
      </c>
      <c r="K84" s="15">
        <f t="shared" si="18"/>
        <v>37.55800577188063</v>
      </c>
      <c r="L84" s="39">
        <f t="shared" si="19"/>
        <v>816.61312184518272</v>
      </c>
      <c r="M84" s="15">
        <f t="shared" si="14"/>
        <v>32.863255050395551</v>
      </c>
      <c r="N84" s="15">
        <f t="shared" si="20"/>
        <v>714.53648161453486</v>
      </c>
    </row>
    <row r="85" spans="1:18">
      <c r="A85" s="38">
        <f t="shared" si="10"/>
        <v>47849</v>
      </c>
      <c r="B85" s="15">
        <f>IF(E64=0,0,B84)</f>
        <v>2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71.522138007461422</v>
      </c>
      <c r="J85" s="39">
        <f>IF(E64=0,J84,IF(E$6=1,(E$4)/(E$5/365)*LN((E$4)/E7)/1000,(E$4)^E$6*((E$4)^(1-E$6)-E7^(1-E$6))/((1-E$6)*E$5/365)/1000))</f>
        <v>888.13525985264414</v>
      </c>
      <c r="K85" s="15">
        <f t="shared" si="18"/>
        <v>71.522138007461422</v>
      </c>
      <c r="L85" s="39">
        <f t="shared" si="19"/>
        <v>888.13525985264414</v>
      </c>
      <c r="M85" s="15">
        <f t="shared" si="14"/>
        <v>62.581870756528744</v>
      </c>
      <c r="N85" s="15">
        <f t="shared" si="20"/>
        <v>777.11835237106357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1680</v>
      </c>
      <c r="N92" s="41">
        <f t="shared" ref="N92:N107" si="24">L92-M92</f>
        <v>-1680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413.67129620666805</v>
      </c>
      <c r="I93" s="41">
        <f t="shared" ref="I93:I107" si="28">E71*K50*E$27+E71*(K50-E$14)*G$27+K71*L50*E$27+K71*(L50-E$15)*G$27+D93*M50*(E$27+G$27)/1000</f>
        <v>51.708912025833506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162.45497964085428</v>
      </c>
      <c r="L93" s="41">
        <f t="shared" ref="L93:L107" si="30">H93+J93-I93-K93</f>
        <v>199.50740453998026</v>
      </c>
      <c r="M93" s="41">
        <f t="shared" ref="M93:M105" si="31">IF(B72&lt;B71,E$25*(1+E$22/365)^(A50-A$50),0)</f>
        <v>0</v>
      </c>
      <c r="N93" s="41">
        <f t="shared" si="24"/>
        <v>199.50740453998026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358.71442628209138</v>
      </c>
      <c r="I94" s="41">
        <f t="shared" si="28"/>
        <v>44.839303285261423</v>
      </c>
      <c r="J94" s="41">
        <f t="shared" si="29"/>
        <v>0</v>
      </c>
      <c r="K94" s="41">
        <f>IF(H94=0,0,((B72*E$16+E$19)*12+E72*(E$17+E$20)+K72*(E$18+E$21))*(1+E$22)^((A51-A$50)/365))</f>
        <v>163.07200262657062</v>
      </c>
      <c r="L94" s="41">
        <f t="shared" si="30"/>
        <v>150.80312037025936</v>
      </c>
      <c r="M94" s="41">
        <f t="shared" si="31"/>
        <v>0</v>
      </c>
      <c r="N94" s="41">
        <f t="shared" si="24"/>
        <v>150.80312037025936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340.59610683288645</v>
      </c>
      <c r="I95" s="41">
        <f t="shared" si="28"/>
        <v>42.574513354110806</v>
      </c>
      <c r="J95" s="41">
        <f t="shared" si="29"/>
        <v>0</v>
      </c>
      <c r="K95" s="41">
        <f t="shared" ref="K95:K107" si="32">IF(H95=0,0,((B73*E$16+E$19)*12+E73*(E$17+E$20)+K73*(E$18+E$21))*(1+E$22)^((A52-A$50)/365))</f>
        <v>163.81190509781152</v>
      </c>
      <c r="L95" s="41">
        <f t="shared" si="30"/>
        <v>134.20968838096411</v>
      </c>
      <c r="M95" s="41">
        <f t="shared" si="31"/>
        <v>0</v>
      </c>
      <c r="N95" s="41">
        <f t="shared" si="24"/>
        <v>134.20968838096411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339.12011370047361</v>
      </c>
      <c r="I96" s="41">
        <f t="shared" si="28"/>
        <v>42.390014212559201</v>
      </c>
      <c r="J96" s="41">
        <f t="shared" si="29"/>
        <v>0</v>
      </c>
      <c r="K96" s="41">
        <f t="shared" si="32"/>
        <v>164.77158815578287</v>
      </c>
      <c r="L96" s="41">
        <f t="shared" si="30"/>
        <v>131.95851133213154</v>
      </c>
      <c r="M96" s="41">
        <f t="shared" si="31"/>
        <v>0</v>
      </c>
      <c r="N96" s="41">
        <f t="shared" si="24"/>
        <v>131.95851133213154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327.54856430754057</v>
      </c>
      <c r="I97" s="41">
        <f t="shared" si="28"/>
        <v>40.943570538442572</v>
      </c>
      <c r="J97" s="41">
        <f t="shared" si="29"/>
        <v>0</v>
      </c>
      <c r="K97" s="41">
        <f t="shared" si="32"/>
        <v>165.65460507529903</v>
      </c>
      <c r="L97" s="41">
        <f t="shared" si="30"/>
        <v>120.95038869379894</v>
      </c>
      <c r="M97" s="41">
        <f t="shared" si="31"/>
        <v>0</v>
      </c>
      <c r="N97" s="41">
        <f t="shared" si="24"/>
        <v>120.95038869379894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316.84656468260232</v>
      </c>
      <c r="I98" s="41">
        <f t="shared" si="28"/>
        <v>39.60582058532529</v>
      </c>
      <c r="J98" s="41">
        <f t="shared" si="29"/>
        <v>0</v>
      </c>
      <c r="K98" s="41">
        <f t="shared" si="32"/>
        <v>166.75095514682141</v>
      </c>
      <c r="L98" s="41">
        <f t="shared" si="30"/>
        <v>110.48978895045559</v>
      </c>
      <c r="M98" s="41">
        <f t="shared" si="31"/>
        <v>0</v>
      </c>
      <c r="N98" s="41">
        <f t="shared" si="24"/>
        <v>110.48978895045559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306.2647470783923</v>
      </c>
      <c r="I99" s="41">
        <f t="shared" si="28"/>
        <v>38.283093384799038</v>
      </c>
      <c r="J99" s="41">
        <f t="shared" si="29"/>
        <v>0</v>
      </c>
      <c r="K99" s="41">
        <f t="shared" si="32"/>
        <v>167.96232848597168</v>
      </c>
      <c r="L99" s="41">
        <f t="shared" si="30"/>
        <v>100.01932520762159</v>
      </c>
      <c r="M99" s="41">
        <f t="shared" si="31"/>
        <v>0</v>
      </c>
      <c r="N99" s="41">
        <f t="shared" si="24"/>
        <v>100.01932520762159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295.93573514582459</v>
      </c>
      <c r="I100" s="41">
        <f t="shared" si="28"/>
        <v>36.991966893228074</v>
      </c>
      <c r="J100" s="41">
        <f t="shared" si="29"/>
        <v>0</v>
      </c>
      <c r="K100" s="41">
        <f t="shared" si="32"/>
        <v>169.37056613865633</v>
      </c>
      <c r="L100" s="41">
        <f t="shared" si="30"/>
        <v>89.57320211394017</v>
      </c>
      <c r="M100" s="41">
        <f t="shared" si="31"/>
        <v>0</v>
      </c>
      <c r="N100" s="41">
        <f t="shared" si="24"/>
        <v>89.57320211394017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282.02017351553644</v>
      </c>
      <c r="I101" s="41">
        <f t="shared" si="28"/>
        <v>35.252521689442055</v>
      </c>
      <c r="J101" s="41">
        <f t="shared" si="29"/>
        <v>0</v>
      </c>
      <c r="K101" s="41">
        <f t="shared" si="32"/>
        <v>170.72792854861632</v>
      </c>
      <c r="L101" s="41">
        <f t="shared" si="30"/>
        <v>76.03972327747806</v>
      </c>
      <c r="M101" s="41">
        <f t="shared" si="31"/>
        <v>0</v>
      </c>
      <c r="N101" s="41">
        <f t="shared" si="24"/>
        <v>76.03972327747806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270.3837348186575</v>
      </c>
      <c r="I102" s="41">
        <f t="shared" si="28"/>
        <v>33.797966852332188</v>
      </c>
      <c r="J102" s="41">
        <f t="shared" si="29"/>
        <v>0</v>
      </c>
      <c r="K102" s="41">
        <f t="shared" si="32"/>
        <v>172.27554099262574</v>
      </c>
      <c r="L102" s="41">
        <f t="shared" si="30"/>
        <v>64.310226973699571</v>
      </c>
      <c r="M102" s="41">
        <f t="shared" si="31"/>
        <v>0</v>
      </c>
      <c r="N102" s="41">
        <f t="shared" si="24"/>
        <v>64.310226973699571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259.16470427607129</v>
      </c>
      <c r="I103" s="41">
        <f t="shared" si="28"/>
        <v>32.395588034508911</v>
      </c>
      <c r="J103" s="41">
        <f t="shared" si="29"/>
        <v>0</v>
      </c>
      <c r="K103" s="41">
        <f t="shared" si="32"/>
        <v>173.93251161243927</v>
      </c>
      <c r="L103" s="41">
        <f t="shared" si="30"/>
        <v>52.836604629123116</v>
      </c>
      <c r="M103" s="41">
        <f t="shared" si="31"/>
        <v>0</v>
      </c>
      <c r="N103" s="41">
        <f t="shared" si="24"/>
        <v>52.836604629123116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249.04164588999814</v>
      </c>
      <c r="I104" s="41">
        <f t="shared" si="28"/>
        <v>31.130205736249767</v>
      </c>
      <c r="J104" s="41">
        <f t="shared" si="29"/>
        <v>0</v>
      </c>
      <c r="K104" s="41">
        <f t="shared" si="32"/>
        <v>175.7680168634227</v>
      </c>
      <c r="L104" s="41">
        <f t="shared" si="30"/>
        <v>42.143423290325671</v>
      </c>
      <c r="M104" s="41">
        <f t="shared" si="31"/>
        <v>0</v>
      </c>
      <c r="N104" s="41">
        <f t="shared" si="24"/>
        <v>42.143423290325671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237.36499428342555</v>
      </c>
      <c r="I105" s="41">
        <f t="shared" si="28"/>
        <v>29.670624285428193</v>
      </c>
      <c r="J105" s="41">
        <f t="shared" si="29"/>
        <v>0</v>
      </c>
      <c r="K105" s="41">
        <f t="shared" si="32"/>
        <v>177.5754975968344</v>
      </c>
      <c r="L105" s="41">
        <f t="shared" si="30"/>
        <v>30.118872401162946</v>
      </c>
      <c r="M105" s="41">
        <f t="shared" si="31"/>
        <v>0</v>
      </c>
      <c r="N105" s="41">
        <f t="shared" si="24"/>
        <v>30.118872401162946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227.45140480535002</v>
      </c>
      <c r="I106" s="41">
        <f t="shared" si="28"/>
        <v>28.431425600668753</v>
      </c>
      <c r="J106" s="41">
        <f t="shared" si="29"/>
        <v>0</v>
      </c>
      <c r="K106" s="41">
        <f t="shared" si="32"/>
        <v>179.55466047642935</v>
      </c>
      <c r="L106" s="41">
        <f t="shared" si="30"/>
        <v>19.46531872825193</v>
      </c>
      <c r="M106" s="41">
        <f>IF(B85&lt;B84,E$25*(1+E$22/365)^(A63-A$50),0)</f>
        <v>0</v>
      </c>
      <c r="N106" s="41">
        <f t="shared" si="24"/>
        <v>19.46531872825193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441.86173256169337</v>
      </c>
      <c r="I107" s="41">
        <f t="shared" si="28"/>
        <v>55.232716570211672</v>
      </c>
      <c r="J107" s="41">
        <f t="shared" si="29"/>
        <v>0</v>
      </c>
      <c r="K107" s="41">
        <f t="shared" si="32"/>
        <v>205.55687664844021</v>
      </c>
      <c r="L107" s="41">
        <f t="shared" si="30"/>
        <v>181.0721393430415</v>
      </c>
      <c r="M107" s="41">
        <f>IF(B86&lt;B85,E$25*(1+E$22/365)^(A64-A$50),0)</f>
        <v>152.18377498137474</v>
      </c>
      <c r="N107" s="41">
        <f t="shared" si="24"/>
        <v>28.88836436166676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5" workbookViewId="0">
      <selection activeCell="H26" sqref="H26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242</v>
      </c>
    </row>
    <row r="5" spans="1:11">
      <c r="B5" t="s">
        <v>83</v>
      </c>
      <c r="I5" s="3">
        <f>'Cost inputs'!D41</f>
        <v>400</v>
      </c>
      <c r="J5" t="s">
        <v>61</v>
      </c>
      <c r="K5" t="s">
        <v>91</v>
      </c>
    </row>
    <row r="6" spans="1:11">
      <c r="B6" t="s">
        <v>85</v>
      </c>
      <c r="I6" s="3">
        <f>'Cost inputs'!D42</f>
        <v>900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inputs'!D43</f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inputs'!D44</f>
        <v>200</v>
      </c>
      <c r="J8" t="s">
        <v>61</v>
      </c>
      <c r="K8" t="s">
        <v>91</v>
      </c>
    </row>
    <row r="9" spans="1:11">
      <c r="B9" t="s">
        <v>87</v>
      </c>
      <c r="H9" s="5"/>
      <c r="I9" s="3">
        <f>'Cost inputs'!D46</f>
        <v>75</v>
      </c>
      <c r="J9" t="s">
        <v>61</v>
      </c>
      <c r="K9" t="s">
        <v>91</v>
      </c>
    </row>
    <row r="10" spans="1:11">
      <c r="B10" t="s">
        <v>88</v>
      </c>
      <c r="H10" s="5"/>
      <c r="I10" s="3">
        <f>'Cost inputs'!D48</f>
        <v>100</v>
      </c>
      <c r="J10" t="s">
        <v>61</v>
      </c>
      <c r="K10" t="s">
        <v>91</v>
      </c>
    </row>
    <row r="11" spans="1:11">
      <c r="B11" t="s">
        <v>60</v>
      </c>
      <c r="I11" s="3">
        <f>'Cost inputs'!D49</f>
        <v>100</v>
      </c>
      <c r="J11" t="s">
        <v>61</v>
      </c>
      <c r="K11" t="s">
        <v>91</v>
      </c>
    </row>
    <row r="12" spans="1:11">
      <c r="B12" t="s">
        <v>326</v>
      </c>
      <c r="I12" s="3">
        <f>'Cost inputs'!D50</f>
        <v>500</v>
      </c>
      <c r="J12" t="s">
        <v>58</v>
      </c>
      <c r="K12" t="s">
        <v>91</v>
      </c>
    </row>
    <row r="13" spans="1:11">
      <c r="B13" t="s">
        <v>512</v>
      </c>
      <c r="I13" s="3">
        <f>'Cost inputs'!D51</f>
        <v>400</v>
      </c>
      <c r="J13" t="s">
        <v>58</v>
      </c>
      <c r="K13" t="s">
        <v>91</v>
      </c>
    </row>
    <row r="14" spans="1:11">
      <c r="B14" t="s">
        <v>191</v>
      </c>
      <c r="I14" s="3">
        <f>'Cost inputs'!D53</f>
        <v>60</v>
      </c>
      <c r="J14" t="s">
        <v>61</v>
      </c>
      <c r="K14" t="s">
        <v>91</v>
      </c>
    </row>
    <row r="15" spans="1:11">
      <c r="B15" t="s">
        <v>199</v>
      </c>
      <c r="I15" s="3">
        <f>'Cost inputs'!D55</f>
        <v>150</v>
      </c>
      <c r="J15" t="s">
        <v>61</v>
      </c>
      <c r="K15" t="s">
        <v>91</v>
      </c>
    </row>
    <row r="16" spans="1:11">
      <c r="B16" t="s">
        <v>192</v>
      </c>
      <c r="I16" s="3">
        <f>'Cost inputs'!D56</f>
        <v>150</v>
      </c>
      <c r="J16" t="s">
        <v>58</v>
      </c>
      <c r="K16" t="s">
        <v>91</v>
      </c>
    </row>
    <row r="18" spans="1:11">
      <c r="A18" t="s">
        <v>89</v>
      </c>
    </row>
    <row r="19" spans="1:11">
      <c r="B19" t="s">
        <v>62</v>
      </c>
      <c r="C19">
        <f>ROUND(C21*E21/43560,-1)</f>
        <v>520</v>
      </c>
      <c r="D19" t="s">
        <v>68</v>
      </c>
      <c r="E19" t="s">
        <v>77</v>
      </c>
      <c r="G19" t="s">
        <v>78</v>
      </c>
      <c r="I19" s="11">
        <f>'Ord stdy Res'!O27</f>
        <v>336.76313353806597</v>
      </c>
      <c r="J19" t="s">
        <v>79</v>
      </c>
      <c r="K19" t="s">
        <v>246</v>
      </c>
    </row>
    <row r="20" spans="1:11">
      <c r="B20" s="65" t="s">
        <v>243</v>
      </c>
      <c r="C20" s="8">
        <f>C19*259/640</f>
        <v>210.4375</v>
      </c>
      <c r="D20" t="s">
        <v>325</v>
      </c>
      <c r="G20" t="s">
        <v>80</v>
      </c>
      <c r="I20" s="73">
        <f>'Ord stdy Res'!F27*3.281</f>
        <v>42.137883000000002</v>
      </c>
      <c r="J20" t="s">
        <v>81</v>
      </c>
      <c r="K20" t="s">
        <v>246</v>
      </c>
    </row>
    <row r="21" spans="1:11">
      <c r="B21" s="65" t="s">
        <v>243</v>
      </c>
      <c r="C21">
        <v>15000</v>
      </c>
      <c r="D21" t="s">
        <v>245</v>
      </c>
      <c r="E21">
        <v>1500</v>
      </c>
      <c r="F21" t="s">
        <v>244</v>
      </c>
      <c r="G21" t="s">
        <v>77</v>
      </c>
      <c r="I21" s="11">
        <f>I19*I20*C19/1000</f>
        <v>7379.0524702650082</v>
      </c>
      <c r="J21" t="s">
        <v>76</v>
      </c>
    </row>
    <row r="22" spans="1:11">
      <c r="A22" t="s">
        <v>200</v>
      </c>
      <c r="C22">
        <f>Summary!C32</f>
        <v>50</v>
      </c>
      <c r="D22" t="s">
        <v>333</v>
      </c>
      <c r="I22" s="8">
        <f>C22*0.75</f>
        <v>37.5</v>
      </c>
      <c r="J22" t="s">
        <v>336</v>
      </c>
    </row>
    <row r="23" spans="1:11">
      <c r="E23" t="s">
        <v>63</v>
      </c>
      <c r="F23" t="s">
        <v>65</v>
      </c>
      <c r="G23">
        <f>ROUNDUP(C19/I22,0)</f>
        <v>14</v>
      </c>
      <c r="H23" t="s">
        <v>67</v>
      </c>
      <c r="I23" s="3">
        <f>G23*SUM(I$5,I$7,I9,I$11)</f>
        <v>9450</v>
      </c>
      <c r="J23" t="s">
        <v>58</v>
      </c>
    </row>
    <row r="24" spans="1:11">
      <c r="E24" t="s">
        <v>511</v>
      </c>
      <c r="I24" s="3">
        <f>I12+I13</f>
        <v>900</v>
      </c>
      <c r="J24" t="s">
        <v>58</v>
      </c>
    </row>
    <row r="25" spans="1:11">
      <c r="E25" t="s">
        <v>69</v>
      </c>
      <c r="I25" s="3">
        <f>SUM(I23:I24)</f>
        <v>10350</v>
      </c>
      <c r="J25" t="s">
        <v>58</v>
      </c>
    </row>
    <row r="27" spans="1:11">
      <c r="C27" t="s">
        <v>70</v>
      </c>
      <c r="G27" s="8">
        <f>Summary!E32</f>
        <v>70</v>
      </c>
      <c r="H27" t="s">
        <v>202</v>
      </c>
      <c r="I27">
        <f>G27*G23</f>
        <v>980</v>
      </c>
      <c r="J27" t="s">
        <v>73</v>
      </c>
    </row>
    <row r="28" spans="1:11">
      <c r="C28" t="s">
        <v>71</v>
      </c>
      <c r="I28" s="6">
        <f>(I27-I29)*0.365/I30</f>
        <v>0.18094132714806097</v>
      </c>
      <c r="J28" s="4" t="s">
        <v>74</v>
      </c>
      <c r="K28" t="s">
        <v>486</v>
      </c>
    </row>
    <row r="29" spans="1:11">
      <c r="C29" t="s">
        <v>72</v>
      </c>
      <c r="I29" s="8">
        <f>I36*1000/(30.4*(I33*(1-I34)-I35))</f>
        <v>28.916048666078396</v>
      </c>
      <c r="J29" t="s">
        <v>73</v>
      </c>
    </row>
    <row r="30" spans="1:11">
      <c r="C30" t="s">
        <v>75</v>
      </c>
      <c r="I30" s="8">
        <f>I21*I31</f>
        <v>1918.5536422689022</v>
      </c>
      <c r="J30" t="s">
        <v>76</v>
      </c>
    </row>
    <row r="31" spans="1:11">
      <c r="C31" t="s">
        <v>82</v>
      </c>
      <c r="I31" s="9">
        <f>Summary!H32</f>
        <v>0.26</v>
      </c>
    </row>
    <row r="32" spans="1:11">
      <c r="C32" t="s">
        <v>100</v>
      </c>
      <c r="I32" s="8">
        <f>'Ord stdy Res'!S27</f>
        <v>840.89807602383405</v>
      </c>
      <c r="J32" t="s">
        <v>328</v>
      </c>
    </row>
    <row r="33" spans="1:10">
      <c r="C33" t="s">
        <v>353</v>
      </c>
      <c r="I33" s="2">
        <f>Prices!K41</f>
        <v>74.148255004335638</v>
      </c>
      <c r="J33" s="4" t="s">
        <v>187</v>
      </c>
    </row>
    <row r="34" spans="1:10">
      <c r="C34" t="s">
        <v>354</v>
      </c>
      <c r="I34" s="66">
        <v>0.125</v>
      </c>
    </row>
    <row r="35" spans="1:10">
      <c r="C35" t="s">
        <v>185</v>
      </c>
      <c r="I35" s="3">
        <f>Summary!G54</f>
        <v>8</v>
      </c>
      <c r="J35" s="4" t="s">
        <v>187</v>
      </c>
    </row>
    <row r="36" spans="1:10">
      <c r="C36" t="s">
        <v>186</v>
      </c>
      <c r="I36" s="3">
        <f>Summary!F54</f>
        <v>50</v>
      </c>
      <c r="J36" s="4" t="s">
        <v>188</v>
      </c>
    </row>
    <row r="37" spans="1:10">
      <c r="C37" t="s">
        <v>334</v>
      </c>
      <c r="I37" s="76">
        <f>G23*I14</f>
        <v>840</v>
      </c>
      <c r="J37" s="4" t="s">
        <v>335</v>
      </c>
    </row>
    <row r="38" spans="1:10">
      <c r="C38" t="s">
        <v>192</v>
      </c>
      <c r="I38" s="76">
        <f>I16</f>
        <v>150</v>
      </c>
      <c r="J38" s="4" t="s">
        <v>335</v>
      </c>
    </row>
    <row r="39" spans="1:10">
      <c r="C39" t="s">
        <v>203</v>
      </c>
      <c r="I39" s="76">
        <f>'Ord vert oil ec'!C34</f>
        <v>55089.427484974971</v>
      </c>
      <c r="J39" s="4" t="s">
        <v>58</v>
      </c>
    </row>
    <row r="40" spans="1:10">
      <c r="C40" t="s">
        <v>204</v>
      </c>
      <c r="I40" s="76">
        <f>'Ord vert oil ec'!C35</f>
        <v>48731.495294566957</v>
      </c>
      <c r="J40" s="4" t="s">
        <v>58</v>
      </c>
    </row>
    <row r="41" spans="1:10">
      <c r="C41" t="s">
        <v>197</v>
      </c>
      <c r="I41" s="44">
        <f>'Ord vert oil ec'!C37</f>
        <v>1.7289789327950156</v>
      </c>
      <c r="J41" s="4"/>
    </row>
    <row r="43" spans="1:10">
      <c r="A43" t="s">
        <v>200</v>
      </c>
      <c r="C43">
        <f>Summary!C33</f>
        <v>100</v>
      </c>
      <c r="D43" t="s">
        <v>344</v>
      </c>
      <c r="I43" s="8">
        <f>C43*0.75</f>
        <v>75</v>
      </c>
      <c r="J43" t="s">
        <v>337</v>
      </c>
    </row>
    <row r="44" spans="1:10">
      <c r="E44" t="s">
        <v>63</v>
      </c>
      <c r="F44" t="s">
        <v>65</v>
      </c>
      <c r="G44">
        <f>ROUNDUP(C19/I43,0)</f>
        <v>7</v>
      </c>
      <c r="H44" t="s">
        <v>67</v>
      </c>
      <c r="I44" s="3">
        <f>G44*SUM(I6,I8,I10,I11)</f>
        <v>9100</v>
      </c>
      <c r="J44" t="s">
        <v>58</v>
      </c>
    </row>
    <row r="45" spans="1:10">
      <c r="E45" t="s">
        <v>511</v>
      </c>
      <c r="I45" s="3">
        <f>I12+I13</f>
        <v>900</v>
      </c>
      <c r="J45" t="s">
        <v>58</v>
      </c>
    </row>
    <row r="46" spans="1:10">
      <c r="E46" t="s">
        <v>69</v>
      </c>
      <c r="I46" s="3">
        <f>SUM(I44:I45)</f>
        <v>10000</v>
      </c>
      <c r="J46" t="s">
        <v>58</v>
      </c>
    </row>
    <row r="48" spans="1:10">
      <c r="C48" t="s">
        <v>70</v>
      </c>
      <c r="G48" s="8">
        <f>Summary!E33</f>
        <v>200</v>
      </c>
      <c r="H48" t="s">
        <v>202</v>
      </c>
      <c r="I48">
        <f>G48*G44</f>
        <v>1400</v>
      </c>
      <c r="J48" t="s">
        <v>73</v>
      </c>
    </row>
    <row r="49" spans="3:10">
      <c r="C49" t="s">
        <v>71</v>
      </c>
      <c r="I49" s="6">
        <f>(I48-I50)*0.365/I51</f>
        <v>0.19946991211768303</v>
      </c>
      <c r="J49" s="4" t="s">
        <v>74</v>
      </c>
    </row>
    <row r="50" spans="3:10">
      <c r="C50" t="s">
        <v>72</v>
      </c>
      <c r="I50" s="8">
        <f>I57*1000/(30.4*(I54*(1-I55)-I56))</f>
        <v>28.916048666078396</v>
      </c>
      <c r="J50" t="s">
        <v>73</v>
      </c>
    </row>
    <row r="51" spans="3:10">
      <c r="C51" t="s">
        <v>75</v>
      </c>
      <c r="I51" s="8">
        <f>I21*I52</f>
        <v>2508.8778398901031</v>
      </c>
      <c r="J51" t="s">
        <v>76</v>
      </c>
    </row>
    <row r="52" spans="3:10">
      <c r="C52" t="s">
        <v>82</v>
      </c>
      <c r="I52" s="9">
        <f>Summary!H33</f>
        <v>0.34</v>
      </c>
    </row>
    <row r="53" spans="3:10">
      <c r="C53" t="s">
        <v>100</v>
      </c>
      <c r="I53" s="8">
        <f>'Ord stdy Res'!S27</f>
        <v>840.89807602383405</v>
      </c>
      <c r="J53" t="s">
        <v>328</v>
      </c>
    </row>
    <row r="54" spans="3:10">
      <c r="C54" t="s">
        <v>353</v>
      </c>
      <c r="I54" s="2">
        <f>Prices!K41</f>
        <v>74.148255004335638</v>
      </c>
      <c r="J54" s="4" t="s">
        <v>187</v>
      </c>
    </row>
    <row r="55" spans="3:10">
      <c r="C55" t="s">
        <v>354</v>
      </c>
      <c r="I55" s="66">
        <v>0.125</v>
      </c>
    </row>
    <row r="56" spans="3:10">
      <c r="C56" t="s">
        <v>185</v>
      </c>
      <c r="I56" s="3">
        <f>Summary!G55</f>
        <v>8</v>
      </c>
      <c r="J56" s="4" t="s">
        <v>187</v>
      </c>
    </row>
    <row r="57" spans="3:10">
      <c r="C57" t="s">
        <v>186</v>
      </c>
      <c r="I57" s="3">
        <f>Summary!F55</f>
        <v>50</v>
      </c>
      <c r="J57" s="4" t="s">
        <v>188</v>
      </c>
    </row>
    <row r="58" spans="3:10">
      <c r="C58" t="s">
        <v>334</v>
      </c>
      <c r="I58" s="3">
        <f>G44*I15</f>
        <v>1050</v>
      </c>
      <c r="J58" s="4" t="s">
        <v>335</v>
      </c>
    </row>
    <row r="59" spans="3:10">
      <c r="C59" t="s">
        <v>192</v>
      </c>
      <c r="I59" s="3">
        <f>I16</f>
        <v>150</v>
      </c>
      <c r="J59" s="4" t="s">
        <v>335</v>
      </c>
    </row>
    <row r="60" spans="3:10">
      <c r="C60" t="s">
        <v>203</v>
      </c>
      <c r="I60" s="3">
        <f>'Ord hor oil ec'!C34</f>
        <v>78404.161145474311</v>
      </c>
      <c r="J60" s="4" t="s">
        <v>58</v>
      </c>
    </row>
    <row r="61" spans="3:10">
      <c r="C61" t="s">
        <v>204</v>
      </c>
      <c r="I61" s="3">
        <f>'Ord hor oil ec'!C35</f>
        <v>69981.058851470239</v>
      </c>
      <c r="J61" s="4" t="s">
        <v>58</v>
      </c>
    </row>
    <row r="62" spans="3:10">
      <c r="C62" t="s">
        <v>197</v>
      </c>
      <c r="I62" s="44">
        <f>'Ord hor oil ec'!C37</f>
        <v>2.6027948477556797</v>
      </c>
      <c r="J62" s="4"/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22" workbookViewId="0">
      <selection activeCell="I39" sqref="I39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483</v>
      </c>
    </row>
    <row r="5" spans="1:11">
      <c r="B5" t="s">
        <v>83</v>
      </c>
      <c r="I5" s="3">
        <f>'Cost inputs'!D41</f>
        <v>400</v>
      </c>
      <c r="J5" t="s">
        <v>61</v>
      </c>
      <c r="K5" t="s">
        <v>91</v>
      </c>
    </row>
    <row r="6" spans="1:11">
      <c r="B6" t="s">
        <v>85</v>
      </c>
      <c r="I6" s="3">
        <f>'Cost inputs'!D42</f>
        <v>900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inputs'!D43</f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inputs'!D44</f>
        <v>200</v>
      </c>
      <c r="J8" t="s">
        <v>61</v>
      </c>
      <c r="K8" t="s">
        <v>91</v>
      </c>
    </row>
    <row r="9" spans="1:11">
      <c r="B9" t="s">
        <v>466</v>
      </c>
      <c r="H9" s="5"/>
      <c r="I9" s="3">
        <f>'Cost inputs'!D45</f>
        <v>30</v>
      </c>
      <c r="J9" t="s">
        <v>61</v>
      </c>
      <c r="K9" t="s">
        <v>91</v>
      </c>
    </row>
    <row r="10" spans="1:11">
      <c r="B10" t="s">
        <v>467</v>
      </c>
      <c r="H10" s="5"/>
      <c r="I10" s="3">
        <f>'Cost inputs'!D47</f>
        <v>40</v>
      </c>
      <c r="J10" t="s">
        <v>61</v>
      </c>
      <c r="K10" t="s">
        <v>91</v>
      </c>
    </row>
    <row r="11" spans="1:11">
      <c r="B11" t="s">
        <v>60</v>
      </c>
      <c r="I11" s="3">
        <f>'Cost inputs'!D49</f>
        <v>100</v>
      </c>
      <c r="J11" t="s">
        <v>61</v>
      </c>
      <c r="K11" t="s">
        <v>91</v>
      </c>
    </row>
    <row r="12" spans="1:11">
      <c r="B12" t="s">
        <v>468</v>
      </c>
      <c r="I12" s="3">
        <f>'Cost inputs'!D51</f>
        <v>400</v>
      </c>
      <c r="J12" t="s">
        <v>58</v>
      </c>
      <c r="K12" t="s">
        <v>91</v>
      </c>
    </row>
    <row r="13" spans="1:11">
      <c r="B13" t="s">
        <v>191</v>
      </c>
      <c r="I13" s="3">
        <f>'Cost inputs'!D52</f>
        <v>60</v>
      </c>
      <c r="J13" t="s">
        <v>61</v>
      </c>
      <c r="K13" t="s">
        <v>91</v>
      </c>
    </row>
    <row r="14" spans="1:11">
      <c r="B14" t="s">
        <v>199</v>
      </c>
      <c r="I14" s="3">
        <f>'Cost inputs'!D54</f>
        <v>150</v>
      </c>
      <c r="J14" t="s">
        <v>61</v>
      </c>
      <c r="K14" t="s">
        <v>91</v>
      </c>
    </row>
    <row r="15" spans="1:11">
      <c r="B15" t="s">
        <v>213</v>
      </c>
      <c r="I15" s="3">
        <f>'Cost inputs'!D57</f>
        <v>75</v>
      </c>
      <c r="J15" t="s">
        <v>58</v>
      </c>
      <c r="K15" t="s">
        <v>91</v>
      </c>
    </row>
    <row r="17" spans="1:11">
      <c r="A17" t="s">
        <v>373</v>
      </c>
    </row>
    <row r="18" spans="1:11">
      <c r="B18" t="s">
        <v>62</v>
      </c>
      <c r="C18" s="8">
        <f>C20*E20/43560</f>
        <v>516.52892561983469</v>
      </c>
      <c r="D18" t="s">
        <v>68</v>
      </c>
      <c r="E18" t="s">
        <v>206</v>
      </c>
      <c r="G18" t="s">
        <v>207</v>
      </c>
      <c r="I18" s="11">
        <f>Summary!G12</f>
        <v>427.63371948127798</v>
      </c>
      <c r="J18" t="s">
        <v>208</v>
      </c>
      <c r="K18" t="s">
        <v>339</v>
      </c>
    </row>
    <row r="19" spans="1:11">
      <c r="B19" s="65" t="s">
        <v>243</v>
      </c>
      <c r="C19" s="8">
        <f>C18*259/640</f>
        <v>209.03279958677686</v>
      </c>
      <c r="D19" t="s">
        <v>325</v>
      </c>
      <c r="G19" t="s">
        <v>80</v>
      </c>
      <c r="I19" s="73">
        <f>Summary!H12</f>
        <v>15</v>
      </c>
      <c r="J19" t="s">
        <v>81</v>
      </c>
      <c r="K19" t="s">
        <v>339</v>
      </c>
    </row>
    <row r="20" spans="1:11">
      <c r="B20" s="65" t="s">
        <v>243</v>
      </c>
      <c r="C20">
        <v>15000</v>
      </c>
      <c r="D20" t="s">
        <v>245</v>
      </c>
      <c r="E20">
        <v>1500</v>
      </c>
      <c r="F20" t="s">
        <v>244</v>
      </c>
      <c r="G20" t="s">
        <v>206</v>
      </c>
      <c r="I20" s="73">
        <f>I18*I19*C18/1000</f>
        <v>3313.2777852371746</v>
      </c>
      <c r="J20" t="s">
        <v>135</v>
      </c>
    </row>
    <row r="21" spans="1:11">
      <c r="A21" t="s">
        <v>200</v>
      </c>
      <c r="C21">
        <f>Summary!C30</f>
        <v>100</v>
      </c>
      <c r="D21" t="s">
        <v>340</v>
      </c>
      <c r="I21" s="8"/>
    </row>
    <row r="22" spans="1:11">
      <c r="E22" t="s">
        <v>63</v>
      </c>
      <c r="F22" t="s">
        <v>65</v>
      </c>
      <c r="G22">
        <f>ROUNDDOWN(C18/C21,0)</f>
        <v>5</v>
      </c>
      <c r="H22" t="s">
        <v>67</v>
      </c>
      <c r="I22" s="3">
        <f>G22*SUM(I$5,I$7,I9,I$11)</f>
        <v>3150</v>
      </c>
      <c r="J22" t="s">
        <v>58</v>
      </c>
    </row>
    <row r="23" spans="1:11">
      <c r="E23" t="s">
        <v>471</v>
      </c>
      <c r="I23" s="3">
        <f>I12</f>
        <v>400</v>
      </c>
      <c r="J23" t="s">
        <v>58</v>
      </c>
    </row>
    <row r="24" spans="1:11">
      <c r="E24" t="s">
        <v>69</v>
      </c>
      <c r="I24" s="3">
        <f>SUM(I22:I23)</f>
        <v>3550</v>
      </c>
      <c r="J24" t="s">
        <v>58</v>
      </c>
    </row>
    <row r="26" spans="1:11">
      <c r="C26" t="s">
        <v>70</v>
      </c>
      <c r="G26" s="8">
        <f>Summary!E30</f>
        <v>400</v>
      </c>
      <c r="H26" t="s">
        <v>211</v>
      </c>
      <c r="I26">
        <f>G26*G22</f>
        <v>2000</v>
      </c>
      <c r="J26" t="s">
        <v>212</v>
      </c>
    </row>
    <row r="27" spans="1:11">
      <c r="C27" t="s">
        <v>71</v>
      </c>
      <c r="I27" s="6">
        <f>(I26-I28)*0.365/I29</f>
        <v>0.30099334343749801</v>
      </c>
      <c r="J27" s="4" t="s">
        <v>74</v>
      </c>
    </row>
    <row r="28" spans="1:11">
      <c r="C28" t="s">
        <v>72</v>
      </c>
      <c r="I28" s="8">
        <f>I35*1000/(30.4*(I32*(1-I33)-I34))</f>
        <v>87.418655284909832</v>
      </c>
      <c r="J28" t="s">
        <v>212</v>
      </c>
    </row>
    <row r="29" spans="1:11">
      <c r="C29" t="s">
        <v>75</v>
      </c>
      <c r="I29" s="8">
        <f>I20*I30</f>
        <v>2319.294449666022</v>
      </c>
      <c r="J29" t="s">
        <v>135</v>
      </c>
    </row>
    <row r="30" spans="1:11">
      <c r="C30" t="s">
        <v>82</v>
      </c>
      <c r="I30" s="9">
        <f>Summary!H30</f>
        <v>0.7</v>
      </c>
      <c r="K30" t="s">
        <v>347</v>
      </c>
    </row>
    <row r="31" spans="1:11">
      <c r="C31" t="s">
        <v>100</v>
      </c>
      <c r="I31" s="8">
        <v>0</v>
      </c>
      <c r="J31" t="s">
        <v>328</v>
      </c>
      <c r="K31" t="s">
        <v>404</v>
      </c>
    </row>
    <row r="32" spans="1:11">
      <c r="C32" t="s">
        <v>355</v>
      </c>
      <c r="I32" s="2">
        <f>Prices!F14</f>
        <v>4.8718819288820665</v>
      </c>
      <c r="J32" s="4" t="s">
        <v>187</v>
      </c>
    </row>
    <row r="33" spans="1:10">
      <c r="C33" t="s">
        <v>354</v>
      </c>
      <c r="I33" s="66">
        <v>0.125</v>
      </c>
    </row>
    <row r="34" spans="1:10">
      <c r="C34" t="s">
        <v>185</v>
      </c>
      <c r="I34" s="2">
        <f>Summary!G50</f>
        <v>0.5</v>
      </c>
      <c r="J34" s="4" t="s">
        <v>111</v>
      </c>
    </row>
    <row r="35" spans="1:10">
      <c r="C35" t="s">
        <v>186</v>
      </c>
      <c r="I35" s="3">
        <f>Summary!F50</f>
        <v>10</v>
      </c>
      <c r="J35" s="4" t="s">
        <v>188</v>
      </c>
    </row>
    <row r="36" spans="1:10">
      <c r="C36" t="s">
        <v>334</v>
      </c>
      <c r="I36" s="76">
        <f>G22*I13</f>
        <v>300</v>
      </c>
      <c r="J36" s="4" t="s">
        <v>335</v>
      </c>
    </row>
    <row r="37" spans="1:10">
      <c r="C37" t="s">
        <v>192</v>
      </c>
      <c r="I37" s="76">
        <f>I15</f>
        <v>75</v>
      </c>
      <c r="J37" s="4" t="s">
        <v>335</v>
      </c>
    </row>
    <row r="38" spans="1:10">
      <c r="C38" t="s">
        <v>203</v>
      </c>
      <c r="I38" s="76">
        <f>'Ord gas vert'!C35</f>
        <v>1331.7938604099909</v>
      </c>
      <c r="J38" s="4" t="s">
        <v>58</v>
      </c>
    </row>
    <row r="39" spans="1:10">
      <c r="C39" t="s">
        <v>204</v>
      </c>
      <c r="I39" s="76">
        <f>'Ord gas vert'!C36</f>
        <v>1086.4346092469425</v>
      </c>
      <c r="J39" s="4" t="s">
        <v>58</v>
      </c>
    </row>
    <row r="40" spans="1:10">
      <c r="C40" t="s">
        <v>197</v>
      </c>
      <c r="I40" s="44">
        <f>'Ord gas vert'!C38</f>
        <v>0.32108229432713631</v>
      </c>
      <c r="J40" s="4"/>
    </row>
    <row r="42" spans="1:10">
      <c r="A42" t="s">
        <v>200</v>
      </c>
      <c r="C42">
        <f>Summary!C31</f>
        <v>200</v>
      </c>
      <c r="D42" t="s">
        <v>470</v>
      </c>
      <c r="I42" s="8"/>
    </row>
    <row r="43" spans="1:10">
      <c r="E43" t="s">
        <v>345</v>
      </c>
      <c r="F43" t="s">
        <v>65</v>
      </c>
      <c r="G43">
        <f>ROUND(C18/C42,0)</f>
        <v>3</v>
      </c>
      <c r="H43" t="s">
        <v>67</v>
      </c>
      <c r="I43" s="3">
        <f>G43*SUM(I6,I8,I10,I11)</f>
        <v>3720</v>
      </c>
      <c r="J43" t="s">
        <v>58</v>
      </c>
    </row>
    <row r="44" spans="1:10">
      <c r="E44" t="s">
        <v>471</v>
      </c>
      <c r="I44" s="3">
        <f>I12</f>
        <v>400</v>
      </c>
      <c r="J44" t="s">
        <v>58</v>
      </c>
    </row>
    <row r="45" spans="1:10">
      <c r="E45" t="s">
        <v>69</v>
      </c>
      <c r="I45" s="3">
        <f>SUM(I43:I44)</f>
        <v>4120</v>
      </c>
      <c r="J45" t="s">
        <v>58</v>
      </c>
    </row>
    <row r="47" spans="1:10">
      <c r="C47" t="s">
        <v>70</v>
      </c>
      <c r="G47" s="8">
        <f>Summary!E31</f>
        <v>600</v>
      </c>
      <c r="H47" t="s">
        <v>211</v>
      </c>
      <c r="I47" s="8">
        <f>G47*G43</f>
        <v>1800</v>
      </c>
      <c r="J47" t="s">
        <v>212</v>
      </c>
    </row>
    <row r="48" spans="1:10">
      <c r="C48" t="s">
        <v>71</v>
      </c>
      <c r="I48" s="6">
        <f>(I47-I49)*0.365/I50</f>
        <v>0.25155037049462159</v>
      </c>
      <c r="J48" s="4" t="s">
        <v>74</v>
      </c>
    </row>
    <row r="49" spans="3:11">
      <c r="C49" t="s">
        <v>72</v>
      </c>
      <c r="I49" s="8">
        <f>I56*1000/(30.4*(I53*(1-I54)-I55))</f>
        <v>87.418655284909832</v>
      </c>
      <c r="J49" t="s">
        <v>212</v>
      </c>
    </row>
    <row r="50" spans="3:11">
      <c r="C50" t="s">
        <v>75</v>
      </c>
      <c r="I50" s="8">
        <f>I20*I51</f>
        <v>2484.958338927881</v>
      </c>
      <c r="J50" t="s">
        <v>135</v>
      </c>
    </row>
    <row r="51" spans="3:11">
      <c r="C51" t="s">
        <v>82</v>
      </c>
      <c r="I51" s="9">
        <f>Summary!H31</f>
        <v>0.75</v>
      </c>
      <c r="K51" t="s">
        <v>91</v>
      </c>
    </row>
    <row r="52" spans="3:11">
      <c r="C52" t="s">
        <v>100</v>
      </c>
      <c r="I52" s="8">
        <v>0</v>
      </c>
      <c r="J52" t="s">
        <v>328</v>
      </c>
      <c r="K52" t="s">
        <v>404</v>
      </c>
    </row>
    <row r="53" spans="3:11">
      <c r="C53" t="s">
        <v>355</v>
      </c>
      <c r="I53" s="2">
        <f>Prices!F14</f>
        <v>4.8718819288820665</v>
      </c>
      <c r="J53" s="4" t="s">
        <v>187</v>
      </c>
    </row>
    <row r="54" spans="3:11">
      <c r="C54" t="s">
        <v>354</v>
      </c>
      <c r="I54" s="66">
        <v>0.125</v>
      </c>
    </row>
    <row r="55" spans="3:11">
      <c r="C55" t="s">
        <v>185</v>
      </c>
      <c r="I55" s="2">
        <f>Summary!G53</f>
        <v>0.5</v>
      </c>
      <c r="J55" s="4" t="s">
        <v>111</v>
      </c>
    </row>
    <row r="56" spans="3:11">
      <c r="C56" t="s">
        <v>186</v>
      </c>
      <c r="I56" s="3">
        <f>Summary!F53</f>
        <v>10</v>
      </c>
      <c r="J56" s="4" t="s">
        <v>188</v>
      </c>
    </row>
    <row r="57" spans="3:11">
      <c r="C57" t="s">
        <v>334</v>
      </c>
      <c r="I57" s="3">
        <f>G43*I14</f>
        <v>450</v>
      </c>
      <c r="J57" s="4" t="s">
        <v>335</v>
      </c>
    </row>
    <row r="58" spans="3:11">
      <c r="C58" t="s">
        <v>192</v>
      </c>
      <c r="I58" s="3">
        <f>I15</f>
        <v>75</v>
      </c>
      <c r="J58" s="4" t="s">
        <v>335</v>
      </c>
    </row>
    <row r="59" spans="3:11">
      <c r="C59" t="s">
        <v>203</v>
      </c>
      <c r="I59" s="3">
        <f>'Ord gas hor'!C35</f>
        <v>892.43857861695733</v>
      </c>
      <c r="J59" s="4" t="s">
        <v>58</v>
      </c>
    </row>
    <row r="60" spans="3:11">
      <c r="C60" t="s">
        <v>204</v>
      </c>
      <c r="I60" s="3">
        <f>'Ord gas hor'!C36</f>
        <v>634.72351931411265</v>
      </c>
      <c r="J60" s="4" t="s">
        <v>58</v>
      </c>
    </row>
    <row r="61" spans="3:11">
      <c r="C61" t="s">
        <v>197</v>
      </c>
      <c r="I61" s="44">
        <f>'Ord gas hor'!C38</f>
        <v>0.22971921871088519</v>
      </c>
      <c r="J61" s="4"/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5" sqref="A5"/>
    </sheetView>
    <sheetView workbookViewId="1"/>
  </sheetViews>
  <sheetFormatPr defaultRowHeight="15"/>
  <cols>
    <col min="1" max="1" width="5.85546875" customWidth="1"/>
    <col min="2" max="2" width="23" customWidth="1"/>
    <col min="3" max="3" width="22.140625" customWidth="1"/>
    <col min="4" max="10" width="7.28515625" customWidth="1"/>
    <col min="11" max="11" width="6.7109375" customWidth="1"/>
    <col min="12" max="13" width="10.7109375" customWidth="1"/>
    <col min="14" max="19" width="8.7109375" customWidth="1"/>
    <col min="20" max="24" width="7.28515625" customWidth="1"/>
  </cols>
  <sheetData>
    <row r="1" spans="1:24">
      <c r="B1" t="s">
        <v>247</v>
      </c>
    </row>
    <row r="3" spans="1:24">
      <c r="A3" s="1" t="s">
        <v>290</v>
      </c>
      <c r="B3" t="s">
        <v>248</v>
      </c>
      <c r="C3" t="s">
        <v>249</v>
      </c>
      <c r="D3" s="1" t="s">
        <v>250</v>
      </c>
      <c r="E3" s="1" t="s">
        <v>251</v>
      </c>
      <c r="F3" s="1" t="s">
        <v>251</v>
      </c>
      <c r="G3" s="1" t="s">
        <v>253</v>
      </c>
      <c r="H3" s="1" t="s">
        <v>273</v>
      </c>
      <c r="I3" s="1" t="s">
        <v>166</v>
      </c>
      <c r="J3" s="1" t="s">
        <v>166</v>
      </c>
      <c r="K3" s="1" t="s">
        <v>277</v>
      </c>
      <c r="L3" s="1" t="s">
        <v>277</v>
      </c>
      <c r="M3" s="1" t="s">
        <v>255</v>
      </c>
      <c r="N3" s="1" t="s">
        <v>255</v>
      </c>
      <c r="O3" s="1" t="s">
        <v>255</v>
      </c>
      <c r="P3" s="1" t="s">
        <v>164</v>
      </c>
      <c r="Q3" s="1" t="s">
        <v>164</v>
      </c>
      <c r="R3" s="1" t="s">
        <v>253</v>
      </c>
      <c r="S3" s="1" t="s">
        <v>253</v>
      </c>
      <c r="T3" s="1" t="s">
        <v>256</v>
      </c>
      <c r="U3" s="1" t="s">
        <v>256</v>
      </c>
      <c r="V3" s="1" t="s">
        <v>253</v>
      </c>
      <c r="W3" s="1" t="s">
        <v>252</v>
      </c>
      <c r="X3" s="1" t="s">
        <v>163</v>
      </c>
    </row>
    <row r="4" spans="1:24">
      <c r="A4" s="1" t="s">
        <v>291</v>
      </c>
      <c r="D4" s="1"/>
      <c r="E4" s="1" t="s">
        <v>252</v>
      </c>
      <c r="F4" s="1" t="s">
        <v>253</v>
      </c>
      <c r="G4" s="1" t="s">
        <v>273</v>
      </c>
      <c r="H4" s="1" t="s">
        <v>274</v>
      </c>
      <c r="I4" s="1" t="s">
        <v>275</v>
      </c>
      <c r="J4" s="1" t="s">
        <v>276</v>
      </c>
      <c r="K4" s="1" t="s">
        <v>254</v>
      </c>
      <c r="L4" s="1" t="s">
        <v>278</v>
      </c>
      <c r="M4" s="1"/>
      <c r="N4" s="1" t="s">
        <v>320</v>
      </c>
      <c r="O4" s="1" t="s">
        <v>320</v>
      </c>
      <c r="P4" s="1" t="s">
        <v>146</v>
      </c>
      <c r="Q4" s="1" t="s">
        <v>166</v>
      </c>
      <c r="R4" s="1" t="s">
        <v>329</v>
      </c>
      <c r="S4" s="1" t="s">
        <v>329</v>
      </c>
      <c r="T4" s="1" t="s">
        <v>146</v>
      </c>
      <c r="U4" s="1" t="s">
        <v>166</v>
      </c>
      <c r="V4" s="1" t="s">
        <v>257</v>
      </c>
      <c r="W4" s="1" t="s">
        <v>257</v>
      </c>
      <c r="X4" s="1" t="s">
        <v>258</v>
      </c>
    </row>
    <row r="5" spans="1:24">
      <c r="D5" s="1" t="s">
        <v>261</v>
      </c>
      <c r="E5" s="1" t="s">
        <v>262</v>
      </c>
      <c r="F5" s="1" t="s">
        <v>262</v>
      </c>
      <c r="G5" s="1" t="s">
        <v>263</v>
      </c>
      <c r="H5" s="1"/>
      <c r="I5" s="1"/>
      <c r="J5" s="68" t="s">
        <v>266</v>
      </c>
      <c r="K5" s="69" t="s">
        <v>267</v>
      </c>
      <c r="L5" s="69" t="s">
        <v>268</v>
      </c>
      <c r="M5" s="69" t="s">
        <v>269</v>
      </c>
      <c r="N5" s="68" t="s">
        <v>321</v>
      </c>
      <c r="O5" s="68" t="s">
        <v>322</v>
      </c>
      <c r="P5" s="68" t="s">
        <v>268</v>
      </c>
      <c r="Q5" s="68" t="s">
        <v>330</v>
      </c>
      <c r="R5" s="68" t="s">
        <v>331</v>
      </c>
      <c r="S5" s="68" t="s">
        <v>332</v>
      </c>
      <c r="T5" s="69" t="s">
        <v>270</v>
      </c>
      <c r="U5" s="68" t="s">
        <v>271</v>
      </c>
      <c r="V5" s="69" t="s">
        <v>263</v>
      </c>
      <c r="W5" s="69" t="s">
        <v>263</v>
      </c>
      <c r="X5" s="69" t="s">
        <v>272</v>
      </c>
    </row>
    <row r="6" spans="1:24">
      <c r="A6">
        <v>1</v>
      </c>
      <c r="B6" t="s">
        <v>259</v>
      </c>
      <c r="C6" t="s">
        <v>260</v>
      </c>
      <c r="D6">
        <v>8000</v>
      </c>
      <c r="E6">
        <v>39</v>
      </c>
      <c r="F6">
        <v>16</v>
      </c>
      <c r="G6" s="66">
        <v>6.9000000000000006E-2</v>
      </c>
      <c r="H6" s="67" t="s">
        <v>264</v>
      </c>
      <c r="I6" s="70" t="s">
        <v>265</v>
      </c>
      <c r="J6" s="71">
        <v>46.35</v>
      </c>
      <c r="K6">
        <v>471</v>
      </c>
      <c r="L6" s="11">
        <v>5197888</v>
      </c>
      <c r="M6" s="11">
        <v>3594829</v>
      </c>
      <c r="N6" s="72">
        <f>M6/K6/F6</f>
        <v>477.02083333333331</v>
      </c>
      <c r="O6" s="72">
        <f>N6*6.2897*259/640/3.281</f>
        <v>370.06740764673333</v>
      </c>
      <c r="P6" s="11">
        <v>413327</v>
      </c>
      <c r="Q6" s="11">
        <v>45286</v>
      </c>
      <c r="R6" s="10">
        <f>Q6*1000/P6</f>
        <v>109.56458203795059</v>
      </c>
      <c r="S6" s="11">
        <f>R6/0.02832784/6.2897</f>
        <v>614.9315760666783</v>
      </c>
      <c r="T6">
        <v>30</v>
      </c>
      <c r="U6">
        <v>10</v>
      </c>
      <c r="V6" s="66">
        <v>0.13600000000000001</v>
      </c>
      <c r="W6" s="66">
        <v>0.44800000000000001</v>
      </c>
      <c r="X6" s="66">
        <v>0.18</v>
      </c>
    </row>
    <row r="7" spans="1:24">
      <c r="A7">
        <f>A6+2</f>
        <v>3</v>
      </c>
      <c r="C7" t="s">
        <v>279</v>
      </c>
      <c r="D7">
        <v>8150</v>
      </c>
      <c r="E7">
        <v>27.3</v>
      </c>
      <c r="F7">
        <v>14.1</v>
      </c>
      <c r="G7" s="66">
        <v>5.8999999999999997E-2</v>
      </c>
      <c r="H7" s="67" t="s">
        <v>306</v>
      </c>
      <c r="I7" s="70">
        <v>0.68500000000000005</v>
      </c>
      <c r="J7" s="71">
        <v>43.32</v>
      </c>
      <c r="K7">
        <v>255</v>
      </c>
      <c r="L7" s="11">
        <v>2124311</v>
      </c>
      <c r="M7" s="11">
        <v>1469547</v>
      </c>
      <c r="N7" s="72">
        <f t="shared" ref="N7:N26" si="0">M7/K7/F7</f>
        <v>408.71839799749688</v>
      </c>
      <c r="O7" s="72">
        <f t="shared" ref="O7:O28" si="1">N7*6.2897*259/640/3.281</f>
        <v>317.07914505018368</v>
      </c>
      <c r="P7" s="11">
        <v>449087</v>
      </c>
      <c r="Q7" s="11">
        <v>47513</v>
      </c>
      <c r="R7" s="10">
        <f t="shared" ref="R7:R25" si="2">Q7*1000/P7</f>
        <v>105.79909906098374</v>
      </c>
      <c r="S7" s="11">
        <f t="shared" ref="S7:S28" si="3">R7/0.02832784/6.2897</f>
        <v>593.79779050743218</v>
      </c>
      <c r="T7">
        <v>40</v>
      </c>
      <c r="U7">
        <v>12</v>
      </c>
      <c r="V7" s="66">
        <v>0.32879999999999998</v>
      </c>
      <c r="W7" s="66">
        <v>0.44740000000000002</v>
      </c>
      <c r="X7" s="66">
        <v>0.18</v>
      </c>
    </row>
    <row r="8" spans="1:24">
      <c r="A8">
        <f t="shared" ref="A8:A26" si="4">A7+1</f>
        <v>4</v>
      </c>
      <c r="B8" t="s">
        <v>280</v>
      </c>
      <c r="D8">
        <v>8270</v>
      </c>
      <c r="E8">
        <v>43</v>
      </c>
      <c r="F8">
        <v>15</v>
      </c>
      <c r="G8" s="66">
        <v>6.7000000000000004E-2</v>
      </c>
      <c r="H8" s="67" t="s">
        <v>307</v>
      </c>
      <c r="I8" s="70">
        <v>0.74099999999999999</v>
      </c>
      <c r="J8" s="71">
        <v>47.46</v>
      </c>
      <c r="K8">
        <v>454</v>
      </c>
      <c r="L8" s="11">
        <v>4041705</v>
      </c>
      <c r="M8" s="11">
        <v>1543358</v>
      </c>
      <c r="N8" s="72">
        <f t="shared" si="0"/>
        <v>226.63113069016154</v>
      </c>
      <c r="O8" s="72">
        <f t="shared" si="1"/>
        <v>175.81788711511086</v>
      </c>
      <c r="P8" s="11">
        <v>196958</v>
      </c>
      <c r="Q8" s="11">
        <v>244339</v>
      </c>
      <c r="R8" s="10">
        <f t="shared" si="2"/>
        <v>1240.5639781070076</v>
      </c>
      <c r="S8" s="11">
        <f t="shared" si="3"/>
        <v>6962.6693962530062</v>
      </c>
      <c r="T8">
        <v>29</v>
      </c>
      <c r="U8">
        <v>22</v>
      </c>
      <c r="V8" s="66">
        <v>0.15559999999999999</v>
      </c>
      <c r="W8" s="66">
        <v>0.26779999999999998</v>
      </c>
      <c r="X8" s="66">
        <v>0.12</v>
      </c>
    </row>
    <row r="9" spans="1:24">
      <c r="A9">
        <f t="shared" si="4"/>
        <v>5</v>
      </c>
      <c r="B9" t="s">
        <v>281</v>
      </c>
      <c r="C9" t="s">
        <v>282</v>
      </c>
      <c r="D9">
        <v>8340</v>
      </c>
      <c r="E9">
        <v>29</v>
      </c>
      <c r="F9">
        <v>22</v>
      </c>
      <c r="G9" s="66">
        <v>6.8000000000000005E-2</v>
      </c>
      <c r="H9" s="67" t="s">
        <v>308</v>
      </c>
      <c r="I9" s="70">
        <v>0.74399999999999999</v>
      </c>
      <c r="J9" s="71">
        <v>47.43</v>
      </c>
      <c r="K9">
        <v>223</v>
      </c>
      <c r="L9" s="11">
        <v>3343192</v>
      </c>
      <c r="M9" s="11">
        <v>2256805</v>
      </c>
      <c r="N9" s="72">
        <f t="shared" si="0"/>
        <v>460.00917244190788</v>
      </c>
      <c r="O9" s="72">
        <f t="shared" si="1"/>
        <v>356.86995209355848</v>
      </c>
      <c r="P9" s="11">
        <v>287999</v>
      </c>
      <c r="Q9" s="11">
        <v>18907</v>
      </c>
      <c r="R9" s="10">
        <f t="shared" si="2"/>
        <v>65.649533505324669</v>
      </c>
      <c r="S9" s="11">
        <f t="shared" si="3"/>
        <v>368.45822213320997</v>
      </c>
      <c r="T9">
        <v>44</v>
      </c>
      <c r="U9">
        <v>3</v>
      </c>
      <c r="V9" s="66">
        <v>0.14449999999999999</v>
      </c>
      <c r="W9" s="66">
        <v>0.26840000000000003</v>
      </c>
      <c r="X9" s="66">
        <v>0.2</v>
      </c>
    </row>
    <row r="10" spans="1:24">
      <c r="A10">
        <f t="shared" si="4"/>
        <v>6</v>
      </c>
      <c r="C10" t="s">
        <v>283</v>
      </c>
      <c r="D10">
        <v>8340</v>
      </c>
      <c r="E10">
        <v>29</v>
      </c>
      <c r="F10">
        <v>22</v>
      </c>
      <c r="G10" s="66">
        <v>6.8000000000000005E-2</v>
      </c>
      <c r="H10" s="67" t="s">
        <v>308</v>
      </c>
      <c r="I10" s="70">
        <v>0.73299999999999998</v>
      </c>
      <c r="J10" s="71">
        <v>47.1</v>
      </c>
      <c r="K10">
        <v>158</v>
      </c>
      <c r="L10" s="11">
        <v>2364366</v>
      </c>
      <c r="M10" s="11">
        <v>1523629</v>
      </c>
      <c r="N10" s="72">
        <f t="shared" si="0"/>
        <v>438.32825086306099</v>
      </c>
      <c r="O10" s="72">
        <f t="shared" si="1"/>
        <v>340.05013651441499</v>
      </c>
      <c r="P10" s="11">
        <v>166261</v>
      </c>
      <c r="Q10" s="11">
        <v>13588</v>
      </c>
      <c r="R10" s="10">
        <f t="shared" si="2"/>
        <v>81.726923331388605</v>
      </c>
      <c r="S10" s="11">
        <f t="shared" si="3"/>
        <v>458.69262526683787</v>
      </c>
      <c r="T10">
        <v>16</v>
      </c>
      <c r="U10">
        <v>4</v>
      </c>
      <c r="V10" s="66">
        <v>0.1139</v>
      </c>
      <c r="W10" s="66">
        <v>0.27610000000000001</v>
      </c>
      <c r="X10" s="66">
        <v>0.19</v>
      </c>
    </row>
    <row r="11" spans="1:24">
      <c r="A11">
        <f t="shared" si="4"/>
        <v>7</v>
      </c>
      <c r="C11" t="s">
        <v>284</v>
      </c>
      <c r="D11">
        <v>8340</v>
      </c>
      <c r="E11">
        <v>29</v>
      </c>
      <c r="F11">
        <v>22</v>
      </c>
      <c r="G11" s="66">
        <v>6.8000000000000005E-2</v>
      </c>
      <c r="H11" s="67" t="s">
        <v>308</v>
      </c>
      <c r="I11" s="70">
        <v>0.89</v>
      </c>
      <c r="J11" s="71">
        <v>56.5</v>
      </c>
      <c r="K11">
        <v>111</v>
      </c>
      <c r="L11" s="11">
        <v>1662575</v>
      </c>
      <c r="M11" s="11">
        <v>1003416</v>
      </c>
      <c r="N11" s="72">
        <f t="shared" si="0"/>
        <v>410.89926289926285</v>
      </c>
      <c r="O11" s="72">
        <f t="shared" si="1"/>
        <v>318.7710355594192</v>
      </c>
      <c r="P11" s="11">
        <v>60879</v>
      </c>
      <c r="Q11" s="11">
        <v>8313</v>
      </c>
      <c r="R11" s="10">
        <f t="shared" si="2"/>
        <v>136.54954910560292</v>
      </c>
      <c r="S11" s="11">
        <f t="shared" si="3"/>
        <v>766.38479224625655</v>
      </c>
      <c r="T11">
        <v>41</v>
      </c>
      <c r="U11">
        <v>8</v>
      </c>
      <c r="V11" s="66">
        <v>0.11310000000000001</v>
      </c>
      <c r="W11" s="66">
        <v>0.21179999999999999</v>
      </c>
      <c r="X11" s="66">
        <v>0.2</v>
      </c>
    </row>
    <row r="12" spans="1:24">
      <c r="A12">
        <f t="shared" si="4"/>
        <v>8</v>
      </c>
      <c r="C12" t="s">
        <v>285</v>
      </c>
      <c r="D12">
        <v>8340</v>
      </c>
      <c r="E12">
        <v>9</v>
      </c>
      <c r="F12">
        <v>7</v>
      </c>
      <c r="G12" s="66">
        <v>6.5000000000000002E-2</v>
      </c>
      <c r="H12" s="67" t="s">
        <v>307</v>
      </c>
      <c r="I12" s="70">
        <v>0.78900000000000003</v>
      </c>
      <c r="J12" s="71"/>
      <c r="K12">
        <v>29</v>
      </c>
      <c r="L12" s="11">
        <v>133091</v>
      </c>
      <c r="M12" s="11">
        <v>106345</v>
      </c>
      <c r="N12" s="72">
        <f t="shared" si="0"/>
        <v>523.86699507389164</v>
      </c>
      <c r="O12" s="72">
        <f t="shared" si="1"/>
        <v>406.41013404798008</v>
      </c>
      <c r="P12" s="11">
        <v>2032</v>
      </c>
      <c r="Q12" s="11"/>
      <c r="R12" s="10">
        <f t="shared" si="2"/>
        <v>0</v>
      </c>
      <c r="S12" s="11">
        <f t="shared" si="3"/>
        <v>0</v>
      </c>
      <c r="T12">
        <v>1</v>
      </c>
      <c r="V12" s="66">
        <v>3.9399999999999998E-2</v>
      </c>
      <c r="W12" s="66">
        <v>0.21609999999999999</v>
      </c>
      <c r="X12" s="66">
        <v>0.05</v>
      </c>
    </row>
    <row r="13" spans="1:24">
      <c r="A13">
        <f t="shared" si="4"/>
        <v>9</v>
      </c>
      <c r="B13" t="s">
        <v>286</v>
      </c>
      <c r="C13" t="s">
        <v>287</v>
      </c>
      <c r="D13">
        <v>8805</v>
      </c>
      <c r="E13">
        <v>10</v>
      </c>
      <c r="F13">
        <v>3</v>
      </c>
      <c r="G13" s="66">
        <v>0.06</v>
      </c>
      <c r="H13" s="67" t="s">
        <v>309</v>
      </c>
      <c r="I13" s="70">
        <v>0.69699999999999995</v>
      </c>
      <c r="J13" s="71"/>
      <c r="K13">
        <v>40</v>
      </c>
      <c r="L13" s="11">
        <v>72843</v>
      </c>
      <c r="M13" s="11">
        <v>58318</v>
      </c>
      <c r="N13" s="72">
        <f t="shared" si="0"/>
        <v>485.98333333333335</v>
      </c>
      <c r="O13" s="72">
        <f t="shared" si="1"/>
        <v>377.02041453713935</v>
      </c>
      <c r="P13" s="11">
        <v>6240</v>
      </c>
      <c r="Q13" s="11"/>
      <c r="R13" s="10">
        <f t="shared" si="2"/>
        <v>0</v>
      </c>
      <c r="S13" s="11">
        <f t="shared" si="3"/>
        <v>0</v>
      </c>
      <c r="T13">
        <v>4</v>
      </c>
      <c r="V13" s="66">
        <v>0.122</v>
      </c>
      <c r="W13" s="66">
        <v>0.24399999999999999</v>
      </c>
      <c r="X13" s="66">
        <v>0.2</v>
      </c>
    </row>
    <row r="14" spans="1:24">
      <c r="A14">
        <f t="shared" si="4"/>
        <v>10</v>
      </c>
      <c r="C14" t="s">
        <v>288</v>
      </c>
      <c r="D14">
        <v>9595</v>
      </c>
      <c r="E14">
        <v>31</v>
      </c>
      <c r="F14">
        <v>10.3</v>
      </c>
      <c r="G14" s="66">
        <v>6.6000000000000003E-2</v>
      </c>
      <c r="H14" s="67" t="s">
        <v>308</v>
      </c>
      <c r="I14" s="70">
        <v>0.68300000000000005</v>
      </c>
      <c r="J14" s="71">
        <v>40.06</v>
      </c>
      <c r="K14">
        <v>37</v>
      </c>
      <c r="L14" s="11">
        <v>250401</v>
      </c>
      <c r="M14" s="11">
        <v>126673</v>
      </c>
      <c r="N14" s="72">
        <f t="shared" si="0"/>
        <v>332.38782471792177</v>
      </c>
      <c r="O14" s="72">
        <f t="shared" si="1"/>
        <v>257.8627431576848</v>
      </c>
      <c r="P14" s="11">
        <v>13263</v>
      </c>
      <c r="Q14" s="11">
        <v>3246</v>
      </c>
      <c r="R14" s="10">
        <f t="shared" si="2"/>
        <v>244.7410088215336</v>
      </c>
      <c r="S14" s="11">
        <f t="shared" si="3"/>
        <v>1373.6097147766711</v>
      </c>
      <c r="T14">
        <v>11</v>
      </c>
      <c r="U14">
        <v>2</v>
      </c>
      <c r="V14" s="66">
        <v>0.11890000000000001</v>
      </c>
      <c r="W14" s="66">
        <v>0.2165</v>
      </c>
      <c r="X14" s="66">
        <v>0.2</v>
      </c>
    </row>
    <row r="15" spans="1:24">
      <c r="A15">
        <f t="shared" si="4"/>
        <v>11</v>
      </c>
      <c r="C15" t="s">
        <v>289</v>
      </c>
      <c r="D15">
        <v>8805</v>
      </c>
      <c r="E15">
        <v>23</v>
      </c>
      <c r="F15">
        <v>18</v>
      </c>
      <c r="G15" s="66">
        <v>6.6000000000000003E-2</v>
      </c>
      <c r="H15" s="67" t="s">
        <v>310</v>
      </c>
      <c r="I15" s="70">
        <v>0.69699999999999995</v>
      </c>
      <c r="J15" s="71"/>
      <c r="K15">
        <v>29</v>
      </c>
      <c r="L15" s="11">
        <v>341536</v>
      </c>
      <c r="M15" s="11">
        <v>215856</v>
      </c>
      <c r="N15" s="72">
        <f t="shared" si="0"/>
        <v>413.51724137931035</v>
      </c>
      <c r="O15" s="72">
        <f t="shared" si="1"/>
        <v>320.80203387581577</v>
      </c>
      <c r="P15" s="11">
        <v>6370</v>
      </c>
      <c r="Q15" s="11">
        <v>720</v>
      </c>
      <c r="R15" s="10">
        <f t="shared" si="2"/>
        <v>113.0298273155416</v>
      </c>
      <c r="S15" s="11">
        <f t="shared" si="3"/>
        <v>634.38027655337908</v>
      </c>
      <c r="T15">
        <v>4</v>
      </c>
      <c r="U15">
        <v>1</v>
      </c>
      <c r="V15" s="66">
        <v>3.8199999999999998E-2</v>
      </c>
      <c r="W15" s="66">
        <v>5.0700000000000002E-2</v>
      </c>
      <c r="X15" s="66">
        <v>0.15</v>
      </c>
    </row>
    <row r="16" spans="1:24">
      <c r="A16">
        <f t="shared" si="4"/>
        <v>12</v>
      </c>
      <c r="C16" t="s">
        <v>292</v>
      </c>
      <c r="D16">
        <v>8490</v>
      </c>
      <c r="E16">
        <v>27</v>
      </c>
      <c r="F16">
        <v>11.6</v>
      </c>
      <c r="G16" s="66">
        <v>7.0999999999999994E-2</v>
      </c>
      <c r="H16" s="67" t="s">
        <v>311</v>
      </c>
      <c r="I16" s="70">
        <v>0.63500000000000001</v>
      </c>
      <c r="J16" s="71">
        <v>43.4</v>
      </c>
      <c r="K16">
        <v>97</v>
      </c>
      <c r="L16" s="11">
        <v>799118</v>
      </c>
      <c r="M16" s="11">
        <v>496332</v>
      </c>
      <c r="N16" s="72">
        <f t="shared" si="0"/>
        <v>441.10558123000357</v>
      </c>
      <c r="O16" s="72">
        <f t="shared" si="1"/>
        <v>342.20475823584155</v>
      </c>
      <c r="P16" s="11">
        <v>95250</v>
      </c>
      <c r="Q16" s="11">
        <v>11795</v>
      </c>
      <c r="R16" s="10">
        <f t="shared" si="2"/>
        <v>123.83202099737532</v>
      </c>
      <c r="S16" s="11">
        <f t="shared" si="3"/>
        <v>695.00762402454166</v>
      </c>
      <c r="T16">
        <v>24</v>
      </c>
      <c r="U16">
        <v>2</v>
      </c>
      <c r="V16" s="66">
        <v>0.2281</v>
      </c>
      <c r="W16" s="66">
        <v>0.32500000000000001</v>
      </c>
      <c r="X16" s="66">
        <v>0.2</v>
      </c>
    </row>
    <row r="17" spans="1:24">
      <c r="A17">
        <f t="shared" si="4"/>
        <v>13</v>
      </c>
      <c r="C17" t="s">
        <v>293</v>
      </c>
      <c r="D17">
        <v>8805</v>
      </c>
      <c r="E17">
        <v>40</v>
      </c>
      <c r="F17">
        <v>19</v>
      </c>
      <c r="G17" s="66">
        <v>8.2000000000000003E-2</v>
      </c>
      <c r="H17" s="67" t="s">
        <v>308</v>
      </c>
      <c r="I17" s="70">
        <v>0.77400000000000002</v>
      </c>
      <c r="J17" s="71">
        <v>50.22</v>
      </c>
      <c r="K17">
        <v>166</v>
      </c>
      <c r="L17" s="11">
        <v>2583719</v>
      </c>
      <c r="M17" s="11">
        <v>1446123</v>
      </c>
      <c r="N17" s="72">
        <f t="shared" si="0"/>
        <v>458.50443880786298</v>
      </c>
      <c r="O17" s="72">
        <f t="shared" si="1"/>
        <v>355.70259663183015</v>
      </c>
      <c r="P17" s="11">
        <v>243435</v>
      </c>
      <c r="Q17" s="11">
        <v>41134</v>
      </c>
      <c r="R17" s="10">
        <f t="shared" si="2"/>
        <v>168.97323720911126</v>
      </c>
      <c r="S17" s="11">
        <f t="shared" si="3"/>
        <v>948.36284807892162</v>
      </c>
      <c r="T17">
        <v>48</v>
      </c>
      <c r="U17">
        <v>6</v>
      </c>
      <c r="V17" s="66">
        <v>0.1847</v>
      </c>
      <c r="W17" s="66">
        <v>0.28860000000000002</v>
      </c>
      <c r="X17" s="66">
        <v>0.21</v>
      </c>
    </row>
    <row r="18" spans="1:24">
      <c r="A18">
        <f t="shared" si="4"/>
        <v>14</v>
      </c>
      <c r="B18" t="s">
        <v>294</v>
      </c>
      <c r="C18" t="s">
        <v>304</v>
      </c>
      <c r="D18">
        <v>8176</v>
      </c>
      <c r="E18">
        <v>58</v>
      </c>
      <c r="F18">
        <v>26</v>
      </c>
      <c r="G18" s="66">
        <v>7.8E-2</v>
      </c>
      <c r="H18" s="67" t="s">
        <v>312</v>
      </c>
      <c r="I18" s="70">
        <v>0.79800000000000004</v>
      </c>
      <c r="J18" s="71">
        <v>51.03</v>
      </c>
      <c r="K18">
        <v>241</v>
      </c>
      <c r="L18" s="11">
        <v>4894667</v>
      </c>
      <c r="M18" s="11">
        <v>3476441</v>
      </c>
      <c r="N18" s="72">
        <f t="shared" si="0"/>
        <v>554.81024577082667</v>
      </c>
      <c r="O18" s="72">
        <f t="shared" si="1"/>
        <v>430.41556058157528</v>
      </c>
      <c r="P18" s="11">
        <v>319320</v>
      </c>
      <c r="Q18" s="11">
        <v>13503</v>
      </c>
      <c r="R18" s="10">
        <f t="shared" si="2"/>
        <v>42.286734310409621</v>
      </c>
      <c r="S18" s="11">
        <f t="shared" si="3"/>
        <v>237.33443502030693</v>
      </c>
      <c r="T18">
        <v>31</v>
      </c>
      <c r="U18">
        <v>4</v>
      </c>
      <c r="V18" s="66">
        <v>9.6500000000000002E-2</v>
      </c>
      <c r="W18" s="66">
        <v>0.25659999999999999</v>
      </c>
      <c r="X18" s="66">
        <v>0.14000000000000001</v>
      </c>
    </row>
    <row r="19" spans="1:24">
      <c r="A19">
        <f t="shared" si="4"/>
        <v>15</v>
      </c>
      <c r="C19" t="s">
        <v>305</v>
      </c>
      <c r="D19">
        <v>8176</v>
      </c>
      <c r="E19">
        <v>15.5</v>
      </c>
      <c r="F19">
        <v>7.2</v>
      </c>
      <c r="G19" s="66">
        <v>8.1000000000000003E-2</v>
      </c>
      <c r="H19" s="67" t="s">
        <v>308</v>
      </c>
      <c r="I19" s="70">
        <v>0.72899999999999998</v>
      </c>
      <c r="J19" s="71">
        <v>46.07</v>
      </c>
      <c r="K19">
        <v>36</v>
      </c>
      <c r="L19" s="11">
        <v>209579</v>
      </c>
      <c r="M19" s="11">
        <v>145837</v>
      </c>
      <c r="N19" s="72">
        <f t="shared" si="0"/>
        <v>562.64274691358025</v>
      </c>
      <c r="O19" s="72">
        <f t="shared" si="1"/>
        <v>436.49192704346405</v>
      </c>
      <c r="P19" s="11">
        <v>50881</v>
      </c>
      <c r="Q19" s="11">
        <v>2644</v>
      </c>
      <c r="R19" s="10">
        <f t="shared" si="2"/>
        <v>51.964387492384191</v>
      </c>
      <c r="S19" s="11">
        <f t="shared" si="3"/>
        <v>291.65029524744682</v>
      </c>
      <c r="T19">
        <v>12</v>
      </c>
      <c r="U19">
        <v>2</v>
      </c>
      <c r="V19" s="66">
        <v>0.40860000000000002</v>
      </c>
      <c r="W19" s="66">
        <v>0.40860000000000002</v>
      </c>
      <c r="X19" s="66">
        <v>0.18970000000000001</v>
      </c>
    </row>
    <row r="20" spans="1:24">
      <c r="A20">
        <f t="shared" si="4"/>
        <v>16</v>
      </c>
      <c r="C20" t="s">
        <v>295</v>
      </c>
      <c r="D20">
        <v>8176</v>
      </c>
      <c r="E20">
        <v>13</v>
      </c>
      <c r="F20">
        <v>7.5</v>
      </c>
      <c r="G20" s="66">
        <v>7.0000000000000007E-2</v>
      </c>
      <c r="H20" s="67" t="s">
        <v>313</v>
      </c>
      <c r="I20" s="70">
        <v>0.6</v>
      </c>
      <c r="J20" s="71">
        <v>37.799999999999997</v>
      </c>
      <c r="K20">
        <v>84</v>
      </c>
      <c r="L20" s="11">
        <v>438517</v>
      </c>
      <c r="M20" s="11">
        <v>265848</v>
      </c>
      <c r="N20" s="72">
        <f t="shared" si="0"/>
        <v>421.98095238095237</v>
      </c>
      <c r="O20" s="72">
        <f t="shared" si="1"/>
        <v>327.36808586051001</v>
      </c>
      <c r="P20" s="11">
        <v>92714</v>
      </c>
      <c r="Q20" s="11">
        <v>10909</v>
      </c>
      <c r="R20" s="10">
        <f t="shared" si="2"/>
        <v>117.66292037879931</v>
      </c>
      <c r="S20" s="11">
        <f t="shared" si="3"/>
        <v>660.38352656774794</v>
      </c>
      <c r="T20">
        <v>35</v>
      </c>
      <c r="U20">
        <v>4</v>
      </c>
      <c r="V20" s="66">
        <v>0.43070000000000003</v>
      </c>
      <c r="W20" s="66">
        <v>0.63249999999999995</v>
      </c>
      <c r="X20" s="66">
        <v>0.20519999999999999</v>
      </c>
    </row>
    <row r="21" spans="1:24">
      <c r="A21">
        <f t="shared" si="4"/>
        <v>17</v>
      </c>
      <c r="C21" t="s">
        <v>296</v>
      </c>
      <c r="D21">
        <v>8176</v>
      </c>
      <c r="E21">
        <v>23.6</v>
      </c>
      <c r="F21">
        <v>11.46</v>
      </c>
      <c r="G21" s="66">
        <v>7.5600000000000001E-2</v>
      </c>
      <c r="H21" s="67" t="s">
        <v>314</v>
      </c>
      <c r="I21" s="70">
        <v>0.70899999999999996</v>
      </c>
      <c r="J21" s="71"/>
      <c r="K21">
        <v>78</v>
      </c>
      <c r="L21" s="11">
        <v>673171</v>
      </c>
      <c r="M21" s="11">
        <v>388456</v>
      </c>
      <c r="N21" s="72">
        <f t="shared" si="0"/>
        <v>434.57287331632875</v>
      </c>
      <c r="O21" s="72">
        <f t="shared" si="1"/>
        <v>337.13675677009087</v>
      </c>
      <c r="P21" s="11">
        <v>23438</v>
      </c>
      <c r="Q21" s="11">
        <v>2194</v>
      </c>
      <c r="R21" s="10">
        <f t="shared" si="2"/>
        <v>93.608669681713451</v>
      </c>
      <c r="S21" s="11">
        <f t="shared" si="3"/>
        <v>525.37896563090703</v>
      </c>
      <c r="T21">
        <v>6</v>
      </c>
      <c r="U21">
        <v>2</v>
      </c>
      <c r="V21" s="66">
        <v>4.7E-2</v>
      </c>
      <c r="W21" s="66">
        <v>7.0300000000000001E-2</v>
      </c>
      <c r="X21" s="66">
        <v>0.2631</v>
      </c>
    </row>
    <row r="22" spans="1:24">
      <c r="A22">
        <f t="shared" si="4"/>
        <v>18</v>
      </c>
      <c r="B22" t="s">
        <v>297</v>
      </c>
      <c r="C22" t="s">
        <v>298</v>
      </c>
      <c r="D22">
        <v>8000</v>
      </c>
      <c r="E22">
        <v>20.5</v>
      </c>
      <c r="F22">
        <v>6.2</v>
      </c>
      <c r="G22" s="66">
        <v>6.9000000000000006E-2</v>
      </c>
      <c r="H22" s="67" t="s">
        <v>315</v>
      </c>
      <c r="I22" s="70">
        <v>0.79500000000000004</v>
      </c>
      <c r="J22" s="71">
        <v>51.21</v>
      </c>
      <c r="K22">
        <v>144</v>
      </c>
      <c r="L22" s="11">
        <v>618089</v>
      </c>
      <c r="M22" s="11">
        <v>404741</v>
      </c>
      <c r="N22" s="72">
        <f t="shared" si="0"/>
        <v>453.33893369175621</v>
      </c>
      <c r="O22" s="72">
        <f t="shared" si="1"/>
        <v>351.69525574873751</v>
      </c>
      <c r="P22" s="11">
        <v>85189</v>
      </c>
      <c r="Q22" s="11">
        <v>7008</v>
      </c>
      <c r="R22" s="10">
        <f t="shared" si="2"/>
        <v>82.264142084071892</v>
      </c>
      <c r="S22" s="11">
        <f t="shared" si="3"/>
        <v>461.70776727838393</v>
      </c>
      <c r="T22">
        <v>17</v>
      </c>
      <c r="U22">
        <v>3</v>
      </c>
      <c r="V22" s="66">
        <v>0.3367</v>
      </c>
      <c r="W22" s="66">
        <v>0.34549999999999997</v>
      </c>
      <c r="X22" s="66">
        <v>0.17499999999999999</v>
      </c>
    </row>
    <row r="23" spans="1:24">
      <c r="A23">
        <f t="shared" si="4"/>
        <v>19</v>
      </c>
      <c r="C23" t="s">
        <v>299</v>
      </c>
      <c r="D23">
        <v>8000</v>
      </c>
      <c r="E23">
        <v>8</v>
      </c>
      <c r="F23">
        <v>2.8</v>
      </c>
      <c r="G23" s="66">
        <v>5.8999999999999997E-2</v>
      </c>
      <c r="H23" s="67" t="s">
        <v>316</v>
      </c>
      <c r="I23" s="70">
        <v>0.84</v>
      </c>
      <c r="J23" s="71">
        <v>42.6</v>
      </c>
      <c r="K23">
        <v>48</v>
      </c>
      <c r="L23" s="11">
        <v>78721</v>
      </c>
      <c r="M23" s="11">
        <v>62785</v>
      </c>
      <c r="N23" s="72">
        <f t="shared" si="0"/>
        <v>467.15029761904765</v>
      </c>
      <c r="O23" s="72">
        <f t="shared" si="1"/>
        <v>362.40995684244592</v>
      </c>
      <c r="P23" s="11">
        <v>8471</v>
      </c>
      <c r="Q23" s="11"/>
      <c r="R23" s="10">
        <f t="shared" si="2"/>
        <v>0</v>
      </c>
      <c r="S23" s="11">
        <f t="shared" si="3"/>
        <v>0</v>
      </c>
      <c r="T23">
        <v>4</v>
      </c>
      <c r="V23" s="66">
        <v>0.21679999999999999</v>
      </c>
      <c r="W23" s="66">
        <v>0.39860000000000001</v>
      </c>
      <c r="X23" s="66">
        <v>0.18379999999999999</v>
      </c>
    </row>
    <row r="24" spans="1:24">
      <c r="A24">
        <f t="shared" si="4"/>
        <v>20</v>
      </c>
      <c r="C24" t="s">
        <v>300</v>
      </c>
      <c r="D24">
        <v>8000</v>
      </c>
      <c r="E24">
        <v>15</v>
      </c>
      <c r="F24">
        <v>9.1999999999999993</v>
      </c>
      <c r="G24" s="66">
        <v>5.2999999999999999E-2</v>
      </c>
      <c r="H24" s="67" t="s">
        <v>317</v>
      </c>
      <c r="I24" s="70">
        <v>0.79200000000000004</v>
      </c>
      <c r="J24" s="71">
        <v>50.8</v>
      </c>
      <c r="K24">
        <v>241</v>
      </c>
      <c r="L24" s="11">
        <v>1174141</v>
      </c>
      <c r="M24" s="11">
        <v>758315</v>
      </c>
      <c r="N24" s="72">
        <f t="shared" si="0"/>
        <v>342.01470322929822</v>
      </c>
      <c r="O24" s="72">
        <f t="shared" si="1"/>
        <v>265.33116743915781</v>
      </c>
      <c r="P24" s="11">
        <v>138482</v>
      </c>
      <c r="Q24" s="11">
        <v>13638</v>
      </c>
      <c r="R24" s="10">
        <f t="shared" si="2"/>
        <v>98.482113198827278</v>
      </c>
      <c r="S24" s="11">
        <f t="shared" si="3"/>
        <v>552.73118335590789</v>
      </c>
      <c r="T24">
        <v>28</v>
      </c>
      <c r="U24">
        <v>5</v>
      </c>
      <c r="V24" s="66">
        <v>0.2419</v>
      </c>
      <c r="W24" s="66">
        <v>0.5121</v>
      </c>
      <c r="X24" s="66">
        <v>0.2</v>
      </c>
    </row>
    <row r="25" spans="1:24">
      <c r="A25">
        <f t="shared" si="4"/>
        <v>21</v>
      </c>
      <c r="C25" t="s">
        <v>301</v>
      </c>
      <c r="D25">
        <v>8000</v>
      </c>
      <c r="E25">
        <v>21</v>
      </c>
      <c r="F25">
        <v>6.5</v>
      </c>
      <c r="G25" s="66">
        <v>5.8999999999999997E-2</v>
      </c>
      <c r="H25" s="67" t="s">
        <v>318</v>
      </c>
      <c r="I25" s="70">
        <v>0.79200000000000004</v>
      </c>
      <c r="J25" s="71"/>
      <c r="K25">
        <v>241</v>
      </c>
      <c r="L25" s="11">
        <v>925905</v>
      </c>
      <c r="M25" s="11">
        <v>577008</v>
      </c>
      <c r="N25" s="72">
        <f t="shared" si="0"/>
        <v>368.34216406000638</v>
      </c>
      <c r="O25" s="72">
        <f t="shared" si="1"/>
        <v>285.75571600962428</v>
      </c>
      <c r="P25" s="11">
        <v>174773</v>
      </c>
      <c r="Q25" s="11">
        <v>20941</v>
      </c>
      <c r="R25" s="10">
        <f t="shared" si="2"/>
        <v>119.81827856705556</v>
      </c>
      <c r="S25" s="11">
        <f t="shared" si="3"/>
        <v>672.48048146904591</v>
      </c>
      <c r="T25">
        <v>25</v>
      </c>
      <c r="U25">
        <v>2</v>
      </c>
      <c r="V25" s="66">
        <v>0.38629999999999998</v>
      </c>
      <c r="W25" s="66">
        <v>0.73799999999999999</v>
      </c>
      <c r="X25" s="66">
        <v>0.21</v>
      </c>
    </row>
    <row r="26" spans="1:24">
      <c r="A26">
        <f t="shared" si="4"/>
        <v>22</v>
      </c>
      <c r="B26" t="s">
        <v>302</v>
      </c>
      <c r="C26" t="s">
        <v>303</v>
      </c>
      <c r="D26">
        <v>3770</v>
      </c>
      <c r="E26">
        <v>5</v>
      </c>
      <c r="F26">
        <v>3</v>
      </c>
      <c r="G26" s="66">
        <v>7.0000000000000007E-2</v>
      </c>
      <c r="H26" s="67" t="s">
        <v>319</v>
      </c>
      <c r="I26" s="70">
        <v>0.7</v>
      </c>
      <c r="J26" s="71"/>
      <c r="K26">
        <v>243</v>
      </c>
      <c r="L26" s="11">
        <v>504948</v>
      </c>
      <c r="M26" s="11">
        <v>15925</v>
      </c>
      <c r="N26" s="72">
        <f t="shared" si="0"/>
        <v>21.844993141289436</v>
      </c>
      <c r="O26" s="72">
        <f t="shared" si="1"/>
        <v>16.947100455481824</v>
      </c>
      <c r="P26" s="72"/>
      <c r="Q26" s="72"/>
      <c r="R26" s="10"/>
      <c r="S26" s="11"/>
      <c r="U26">
        <v>8</v>
      </c>
      <c r="V26" s="66">
        <v>1</v>
      </c>
      <c r="W26" s="66">
        <v>1</v>
      </c>
      <c r="X26" s="66">
        <v>0.22</v>
      </c>
    </row>
    <row r="27" spans="1:24">
      <c r="D27" s="65" t="s">
        <v>323</v>
      </c>
      <c r="E27" s="7"/>
      <c r="F27" s="7">
        <f t="shared" ref="F27" si="5">AVERAGE(F6:F25)</f>
        <v>12.843</v>
      </c>
      <c r="K27" s="8">
        <f t="shared" ref="K27:L27" si="6">AVERAGE(K6:K25)</f>
        <v>159.15</v>
      </c>
      <c r="L27" s="11">
        <f t="shared" si="6"/>
        <v>1596376.75</v>
      </c>
      <c r="M27" s="65"/>
      <c r="N27" s="7">
        <f>AVERAGE(N6:N25)</f>
        <v>434.09126898746729</v>
      </c>
      <c r="O27" s="72">
        <f t="shared" si="1"/>
        <v>336.76313353806597</v>
      </c>
      <c r="P27" s="72"/>
      <c r="Q27" s="72"/>
      <c r="R27" s="7">
        <f>AVERAGE(R6:R25)</f>
        <v>149.82585026025404</v>
      </c>
      <c r="S27" s="11">
        <f t="shared" si="3"/>
        <v>840.89807602383405</v>
      </c>
      <c r="T27">
        <f>AVERAGE(T6:T25)</f>
        <v>22.5</v>
      </c>
      <c r="U27" s="65"/>
      <c r="V27" s="9">
        <f>AVERAGE(V6:V25)</f>
        <v>0.194385</v>
      </c>
      <c r="W27" s="9">
        <f>AVERAGE(W6:W25)</f>
        <v>0.33113000000000004</v>
      </c>
      <c r="X27" s="9">
        <f>AVERAGE(X6:X25)</f>
        <v>0.18234</v>
      </c>
    </row>
    <row r="28" spans="1:24">
      <c r="D28" s="65" t="s">
        <v>324</v>
      </c>
      <c r="E28" s="7">
        <f t="shared" ref="E28:F28" si="7">MAX(E6:E25)</f>
        <v>58</v>
      </c>
      <c r="F28" s="7">
        <f t="shared" si="7"/>
        <v>26</v>
      </c>
      <c r="K28" s="8">
        <f t="shared" ref="K28:L28" si="8">MAX(K6:K25)</f>
        <v>471</v>
      </c>
      <c r="L28" s="11">
        <f t="shared" si="8"/>
        <v>5197888</v>
      </c>
      <c r="M28" s="65"/>
      <c r="N28" s="7">
        <f>MAX(N6:N25)</f>
        <v>562.64274691358025</v>
      </c>
      <c r="O28" s="72">
        <f t="shared" si="1"/>
        <v>436.49192704346405</v>
      </c>
      <c r="P28" s="72"/>
      <c r="Q28" s="72"/>
      <c r="R28" s="7">
        <f>MAX(R6:R25)</f>
        <v>1240.5639781070076</v>
      </c>
      <c r="S28" s="11">
        <f t="shared" si="3"/>
        <v>6962.6693962530062</v>
      </c>
      <c r="T28">
        <f>MAX(T6:T25)</f>
        <v>48</v>
      </c>
      <c r="V28" s="9">
        <f t="shared" ref="V28:W28" si="9">MAX(V6:V25)</f>
        <v>0.43070000000000003</v>
      </c>
      <c r="W28" s="9">
        <f t="shared" si="9"/>
        <v>0.73799999999999999</v>
      </c>
    </row>
  </sheetData>
  <pageMargins left="0.70866141732283472" right="0.70866141732283472" top="0.74803149606299213" bottom="0.74803149606299213" header="0.31496062992125984" footer="0.31496062992125984"/>
  <pageSetup scale="81" fitToWidth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9" workbookViewId="0">
      <selection activeCell="E30" sqref="E30:E37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484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12">
        <f>'Ord Gas'!I26</f>
        <v>2000</v>
      </c>
      <c r="F4" s="14" t="s">
        <v>212</v>
      </c>
      <c r="G4" s="15"/>
    </row>
    <row r="5" spans="1:21" ht="15.75">
      <c r="A5" s="14" t="s">
        <v>184</v>
      </c>
      <c r="B5" s="14"/>
      <c r="E5" s="26">
        <f>'Ord Gas'!I27</f>
        <v>0.30099334343749801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'Ord Gas'!I28</f>
        <v>87.418655284909832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'Ord Gas'!G22</f>
        <v>5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'Ord Gas'!I35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'Ord Gas'!I34</f>
        <v>0.5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'Ord Gas'!I24</f>
        <v>3550</v>
      </c>
      <c r="F24" s="12" t="s">
        <v>195</v>
      </c>
    </row>
    <row r="25" spans="1:21">
      <c r="B25" s="12" t="s">
        <v>193</v>
      </c>
      <c r="E25" s="42">
        <f>'Ord Gas'!I36+'Ord Gas'!I37</f>
        <v>375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3116.4018533943481</v>
      </c>
      <c r="D32" s="12" t="s">
        <v>58</v>
      </c>
      <c r="E32" s="84">
        <f>C32/E$24</f>
        <v>0.87785967701249246</v>
      </c>
    </row>
    <row r="33" spans="1:19">
      <c r="A33" s="26">
        <v>0.05</v>
      </c>
      <c r="B33" s="12" t="s">
        <v>128</v>
      </c>
      <c r="C33" s="29">
        <f t="shared" ref="C33:C37" si="0">NPV(A33,N$92:N$107)</f>
        <v>2273.2636128867712</v>
      </c>
      <c r="D33" s="12" t="s">
        <v>58</v>
      </c>
      <c r="E33" s="84">
        <f t="shared" ref="E33:E37" si="1">C33/E$24</f>
        <v>0.64035594729204826</v>
      </c>
    </row>
    <row r="34" spans="1:19">
      <c r="A34" s="26">
        <v>0.1</v>
      </c>
      <c r="B34" s="12" t="s">
        <v>128</v>
      </c>
      <c r="C34" s="29">
        <f t="shared" si="0"/>
        <v>1608.580546674282</v>
      </c>
      <c r="D34" s="12" t="s">
        <v>58</v>
      </c>
      <c r="E34" s="84">
        <f t="shared" si="1"/>
        <v>0.45312128075331887</v>
      </c>
    </row>
    <row r="35" spans="1:19">
      <c r="A35" s="26">
        <v>0.125</v>
      </c>
      <c r="B35" s="12" t="s">
        <v>128</v>
      </c>
      <c r="C35" s="29">
        <f t="shared" si="0"/>
        <v>1331.7938604099909</v>
      </c>
      <c r="D35" s="12" t="s">
        <v>58</v>
      </c>
      <c r="E35" s="84">
        <f t="shared" si="1"/>
        <v>0.37515320011549042</v>
      </c>
      <c r="F35" s="14"/>
    </row>
    <row r="36" spans="1:19">
      <c r="A36" s="26">
        <v>0.15</v>
      </c>
      <c r="B36" s="12" t="s">
        <v>128</v>
      </c>
      <c r="C36" s="29">
        <f t="shared" si="0"/>
        <v>1086.4346092469425</v>
      </c>
      <c r="D36" s="12" t="s">
        <v>58</v>
      </c>
      <c r="E36" s="84">
        <f t="shared" si="1"/>
        <v>0.30603791809773029</v>
      </c>
      <c r="F36" s="14"/>
    </row>
    <row r="37" spans="1:19">
      <c r="A37" s="26">
        <v>0.2</v>
      </c>
      <c r="B37" s="12" t="s">
        <v>128</v>
      </c>
      <c r="C37" s="29">
        <f t="shared" si="0"/>
        <v>675.48702608857332</v>
      </c>
      <c r="D37" s="12" t="s">
        <v>58</v>
      </c>
      <c r="E37" s="84">
        <f t="shared" si="1"/>
        <v>0.19027803551790798</v>
      </c>
      <c r="F37" s="14"/>
    </row>
    <row r="38" spans="1:19">
      <c r="A38" s="12" t="s">
        <v>197</v>
      </c>
      <c r="C38" s="25">
        <f>IF(SUM(N92:N107)&lt;0,0,IRR(N92:N107))</f>
        <v>0.32108229432713631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2319.2944496660225</v>
      </c>
      <c r="I41" s="14" t="s">
        <v>135</v>
      </c>
      <c r="J41" s="33">
        <f>C107</f>
        <v>0</v>
      </c>
      <c r="K41" s="14" t="s">
        <v>136</v>
      </c>
      <c r="L41" s="33">
        <f>F41+H41/E$42+J41</f>
        <v>386.54907494433706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2000</v>
      </c>
      <c r="F50" s="18">
        <f>E50*E$11</f>
        <v>2000</v>
      </c>
      <c r="G50" s="35">
        <f>F50*(1-$E$27)</f>
        <v>1750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1480.1653982741095</v>
      </c>
      <c r="F51" s="18">
        <f t="shared" ref="F51:F64" si="7">E51*E$11</f>
        <v>1480.1653982741095</v>
      </c>
      <c r="G51" s="35">
        <f t="shared" ref="G51:G64" si="8">F51*(1-$E$27)</f>
        <v>1295.1447234898458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1095.4448031239763</v>
      </c>
      <c r="F52" s="18">
        <f t="shared" si="7"/>
        <v>1095.4448031239763</v>
      </c>
      <c r="G52" s="35">
        <f t="shared" si="8"/>
        <v>958.51420273347924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810.7197466516518</v>
      </c>
      <c r="F53" s="18">
        <f t="shared" si="7"/>
        <v>810.7197466516518</v>
      </c>
      <c r="G53" s="35">
        <f t="shared" si="8"/>
        <v>709.37977832019533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599.50507900196033</v>
      </c>
      <c r="F54" s="18">
        <f t="shared" si="7"/>
        <v>599.50507900196033</v>
      </c>
      <c r="G54" s="35">
        <f t="shared" si="8"/>
        <v>524.56694412671527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443.68333701414394</v>
      </c>
      <c r="F55" s="18">
        <f t="shared" si="7"/>
        <v>443.68333701414394</v>
      </c>
      <c r="G55" s="35">
        <f t="shared" si="8"/>
        <v>388.22291988737595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328.36236161956322</v>
      </c>
      <c r="F56" s="18">
        <f t="shared" si="7"/>
        <v>328.36236161956322</v>
      </c>
      <c r="G56" s="35">
        <f t="shared" si="8"/>
        <v>287.31706641711781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243.0153028824239</v>
      </c>
      <c r="F57" s="18">
        <f t="shared" si="7"/>
        <v>243.0153028824239</v>
      </c>
      <c r="G57" s="35">
        <f t="shared" si="8"/>
        <v>212.63839002212092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179.7031698745734</v>
      </c>
      <c r="F58" s="18">
        <f t="shared" si="7"/>
        <v>179.7031698745734</v>
      </c>
      <c r="G58" s="35">
        <f t="shared" si="8"/>
        <v>157.24027364025173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132.99520700425893</v>
      </c>
      <c r="F59" s="18">
        <f t="shared" si="7"/>
        <v>132.99520700425893</v>
      </c>
      <c r="G59" s="35">
        <f t="shared" si="8"/>
        <v>116.37080612872657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98.427451772003209</v>
      </c>
      <c r="F60" s="18">
        <f t="shared" si="7"/>
        <v>98.427451772003209</v>
      </c>
      <c r="G60" s="35">
        <f t="shared" si="8"/>
        <v>86.124020300502806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87.418655284909832</v>
      </c>
      <c r="F61" s="18">
        <f t="shared" si="7"/>
        <v>87.418655284909832</v>
      </c>
      <c r="G61" s="35">
        <f t="shared" si="8"/>
        <v>76.491323374296101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0</v>
      </c>
      <c r="F62" s="18">
        <f t="shared" si="7"/>
        <v>0</v>
      </c>
      <c r="G62" s="35">
        <f t="shared" si="8"/>
        <v>0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0</v>
      </c>
      <c r="F63" s="18">
        <f t="shared" si="7"/>
        <v>0</v>
      </c>
      <c r="G63" s="35">
        <f t="shared" si="8"/>
        <v>0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0</v>
      </c>
      <c r="F64" s="18">
        <f t="shared" si="7"/>
        <v>0</v>
      </c>
      <c r="G64" s="35">
        <f t="shared" si="8"/>
        <v>0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5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630.37815874273622</v>
      </c>
      <c r="J71" s="39">
        <f>IF(E51=0,0,IF(E$6=1,(E$4)/(E$5/365)*LN((E$4)/E51)/1000,(E$4)^E$6*((E$4)^(1-E$6)-E51^(1-E$6))/((1-E$6)*E$5/365)/1000))</f>
        <v>630.37815874273622</v>
      </c>
      <c r="K71" s="15">
        <f>I71*E$11</f>
        <v>630.37815874273622</v>
      </c>
      <c r="L71" s="39">
        <f>J71*E$11</f>
        <v>630.37815874273622</v>
      </c>
      <c r="M71" s="15">
        <f t="shared" ref="M71:M85" si="14">IF(K71=0,0,(H93-I93)/H93*K71)</f>
        <v>551.58088889989415</v>
      </c>
      <c r="N71" s="15">
        <f>M71</f>
        <v>551.58088889989415</v>
      </c>
    </row>
    <row r="72" spans="1:14">
      <c r="A72" s="38">
        <f t="shared" si="10"/>
        <v>43101</v>
      </c>
      <c r="B72" s="15">
        <f>IF(E52=0,0,B71)</f>
        <v>5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466.53196919937147</v>
      </c>
      <c r="J72" s="39">
        <f>IF(E52=0,J71,IF(E$6=1,(E$4)/(E$5/365)*LN((E$4)/E52)/1000,(E$4)^E$6*((E$4)^(1-E$6)-E52^(1-E$6))/((1-E$6)*E$5/365)/1000))</f>
        <v>1096.9101279421077</v>
      </c>
      <c r="K72" s="15">
        <f t="shared" ref="K72:K85" si="18">I72*E$11</f>
        <v>466.53196919937147</v>
      </c>
      <c r="L72" s="39">
        <f t="shared" ref="L72:L85" si="19">J72*E$11</f>
        <v>1096.9101279421077</v>
      </c>
      <c r="M72" s="15">
        <f t="shared" si="14"/>
        <v>408.21547304945005</v>
      </c>
      <c r="N72" s="15">
        <f t="shared" ref="N72:N85" si="20">M72+N71</f>
        <v>959.79636194934415</v>
      </c>
    </row>
    <row r="73" spans="1:14">
      <c r="A73" s="38">
        <f t="shared" si="10"/>
        <v>43466</v>
      </c>
      <c r="B73" s="15">
        <f t="shared" ref="B73:B84" si="21">IF(E53=0,0,B72)</f>
        <v>5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345.27223899879573</v>
      </c>
      <c r="J73" s="39">
        <f t="shared" ref="J73:J84" si="23">IF(E53=0,J72,IF(E$6=1,(E$4)/(E$5/365)*LN((E$4)/E53)/1000,(E$4)^E$6*((E$4)^(1-E$6)-E53^(1-E$6))/((1-E$6)*E$5/365)/1000))</f>
        <v>1442.1823669409034</v>
      </c>
      <c r="K73" s="15">
        <f t="shared" si="18"/>
        <v>345.27223899879573</v>
      </c>
      <c r="L73" s="39">
        <f t="shared" si="19"/>
        <v>1442.1823669409034</v>
      </c>
      <c r="M73" s="15">
        <f t="shared" si="14"/>
        <v>302.11320912394632</v>
      </c>
      <c r="N73" s="15">
        <f t="shared" si="20"/>
        <v>1261.9095710732904</v>
      </c>
    </row>
    <row r="74" spans="1:14">
      <c r="A74" s="38">
        <f t="shared" si="10"/>
        <v>43831</v>
      </c>
      <c r="B74" s="15">
        <f t="shared" si="21"/>
        <v>5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256.12976291000928</v>
      </c>
      <c r="J74" s="39">
        <f t="shared" si="23"/>
        <v>1698.3121298509127</v>
      </c>
      <c r="K74" s="15">
        <f t="shared" si="18"/>
        <v>256.12976291000928</v>
      </c>
      <c r="L74" s="39">
        <f t="shared" si="19"/>
        <v>1698.3121298509127</v>
      </c>
      <c r="M74" s="15">
        <f t="shared" si="14"/>
        <v>224.11354254625812</v>
      </c>
      <c r="N74" s="15">
        <f t="shared" si="20"/>
        <v>1486.0231136195484</v>
      </c>
    </row>
    <row r="75" spans="1:14">
      <c r="A75" s="38">
        <f t="shared" si="10"/>
        <v>44197</v>
      </c>
      <c r="B75" s="15">
        <f t="shared" si="21"/>
        <v>5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188.95745392908725</v>
      </c>
      <c r="J75" s="39">
        <f t="shared" si="23"/>
        <v>1887.2695837799999</v>
      </c>
      <c r="K75" s="15">
        <f t="shared" si="18"/>
        <v>188.95745392908725</v>
      </c>
      <c r="L75" s="39">
        <f t="shared" si="19"/>
        <v>1887.2695837799999</v>
      </c>
      <c r="M75" s="15">
        <f t="shared" si="14"/>
        <v>165.33777218795134</v>
      </c>
      <c r="N75" s="15">
        <f t="shared" si="20"/>
        <v>1651.3608858074997</v>
      </c>
    </row>
    <row r="76" spans="1:14">
      <c r="A76" s="38">
        <f t="shared" si="10"/>
        <v>44562</v>
      </c>
      <c r="B76" s="15">
        <f t="shared" si="21"/>
        <v>5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139.84414252590454</v>
      </c>
      <c r="J76" s="39">
        <f t="shared" si="23"/>
        <v>2027.1137263059045</v>
      </c>
      <c r="K76" s="15">
        <f t="shared" si="18"/>
        <v>139.84414252590454</v>
      </c>
      <c r="L76" s="39">
        <f t="shared" si="19"/>
        <v>2027.1137263059045</v>
      </c>
      <c r="M76" s="15">
        <f t="shared" si="14"/>
        <v>122.36362471016648</v>
      </c>
      <c r="N76" s="15">
        <f t="shared" si="20"/>
        <v>1773.7245105176662</v>
      </c>
    </row>
    <row r="77" spans="1:14">
      <c r="A77" s="38">
        <f t="shared" si="10"/>
        <v>44927</v>
      </c>
      <c r="B77" s="15">
        <f t="shared" si="21"/>
        <v>5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103.49623045907856</v>
      </c>
      <c r="J77" s="39">
        <f t="shared" si="23"/>
        <v>2130.6099567649831</v>
      </c>
      <c r="K77" s="15">
        <f t="shared" si="18"/>
        <v>103.49623045907856</v>
      </c>
      <c r="L77" s="39">
        <f t="shared" si="19"/>
        <v>2130.6099567649831</v>
      </c>
      <c r="M77" s="15">
        <f t="shared" si="14"/>
        <v>90.559201651693741</v>
      </c>
      <c r="N77" s="15">
        <f t="shared" si="20"/>
        <v>1864.2837121693599</v>
      </c>
    </row>
    <row r="78" spans="1:14">
      <c r="A78" s="38">
        <f t="shared" si="10"/>
        <v>45292</v>
      </c>
      <c r="B78" s="15">
        <f t="shared" si="21"/>
        <v>5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76.775546874059273</v>
      </c>
      <c r="J78" s="39">
        <f t="shared" si="23"/>
        <v>2207.3855036390423</v>
      </c>
      <c r="K78" s="15">
        <f t="shared" si="18"/>
        <v>76.775546874059273</v>
      </c>
      <c r="L78" s="39">
        <f t="shared" si="19"/>
        <v>2207.3855036390423</v>
      </c>
      <c r="M78" s="15">
        <f t="shared" si="14"/>
        <v>67.178603514801864</v>
      </c>
      <c r="N78" s="15">
        <f t="shared" si="20"/>
        <v>1931.4623156841617</v>
      </c>
    </row>
    <row r="79" spans="1:14">
      <c r="A79" s="38">
        <f t="shared" si="10"/>
        <v>45658</v>
      </c>
      <c r="B79" s="15">
        <f t="shared" si="21"/>
        <v>5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56.640476672883324</v>
      </c>
      <c r="J79" s="39">
        <f t="shared" si="23"/>
        <v>2264.0259803119257</v>
      </c>
      <c r="K79" s="15">
        <f t="shared" si="18"/>
        <v>56.640476672883324</v>
      </c>
      <c r="L79" s="39">
        <f t="shared" si="19"/>
        <v>2264.0259803119257</v>
      </c>
      <c r="M79" s="15">
        <f t="shared" si="14"/>
        <v>49.560417088772908</v>
      </c>
      <c r="N79" s="15">
        <f t="shared" si="20"/>
        <v>1981.0227327729347</v>
      </c>
    </row>
    <row r="80" spans="1:14">
      <c r="A80" s="38">
        <f t="shared" si="10"/>
        <v>46023</v>
      </c>
      <c r="B80" s="15">
        <f t="shared" si="21"/>
        <v>5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41.918636856476496</v>
      </c>
      <c r="J80" s="39">
        <f t="shared" si="23"/>
        <v>2305.9446171684021</v>
      </c>
      <c r="K80" s="15">
        <f t="shared" si="18"/>
        <v>41.918636856476496</v>
      </c>
      <c r="L80" s="39">
        <f t="shared" si="19"/>
        <v>2305.9446171684021</v>
      </c>
      <c r="M80" s="15">
        <f t="shared" si="14"/>
        <v>36.678807249416934</v>
      </c>
      <c r="N80" s="15">
        <f t="shared" si="20"/>
        <v>2017.7015400223515</v>
      </c>
    </row>
    <row r="81" spans="1:18">
      <c r="A81" s="38">
        <f t="shared" si="10"/>
        <v>46388</v>
      </c>
      <c r="B81" s="15">
        <f t="shared" si="21"/>
        <v>5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13.349832497620355</v>
      </c>
      <c r="J81" s="39">
        <f t="shared" si="23"/>
        <v>2319.2944496660225</v>
      </c>
      <c r="K81" s="15">
        <f t="shared" si="18"/>
        <v>13.349832497620355</v>
      </c>
      <c r="L81" s="39">
        <f t="shared" si="19"/>
        <v>2319.2944496660225</v>
      </c>
      <c r="M81" s="15">
        <f t="shared" si="14"/>
        <v>11.68110343541781</v>
      </c>
      <c r="N81" s="15">
        <f t="shared" si="20"/>
        <v>2029.3826434577693</v>
      </c>
    </row>
    <row r="82" spans="1:18">
      <c r="A82" s="38">
        <f t="shared" si="10"/>
        <v>46753</v>
      </c>
      <c r="B82" s="15">
        <f t="shared" si="21"/>
        <v>0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0</v>
      </c>
      <c r="J82" s="39">
        <f t="shared" si="23"/>
        <v>2319.2944496660225</v>
      </c>
      <c r="K82" s="15">
        <f t="shared" si="18"/>
        <v>0</v>
      </c>
      <c r="L82" s="39">
        <f t="shared" si="19"/>
        <v>2319.2944496660225</v>
      </c>
      <c r="M82" s="15">
        <f t="shared" si="14"/>
        <v>0</v>
      </c>
      <c r="N82" s="15">
        <f t="shared" si="20"/>
        <v>2029.3826434577693</v>
      </c>
    </row>
    <row r="83" spans="1:18">
      <c r="A83" s="38">
        <f t="shared" si="10"/>
        <v>47119</v>
      </c>
      <c r="B83" s="15">
        <f t="shared" si="21"/>
        <v>0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0</v>
      </c>
      <c r="J83" s="39">
        <f t="shared" si="23"/>
        <v>2319.2944496660225</v>
      </c>
      <c r="K83" s="15">
        <f t="shared" si="18"/>
        <v>0</v>
      </c>
      <c r="L83" s="39">
        <f t="shared" si="19"/>
        <v>2319.2944496660225</v>
      </c>
      <c r="M83" s="15">
        <f t="shared" si="14"/>
        <v>0</v>
      </c>
      <c r="N83" s="15">
        <f t="shared" si="20"/>
        <v>2029.3826434577693</v>
      </c>
    </row>
    <row r="84" spans="1:18">
      <c r="A84" s="38">
        <f t="shared" si="10"/>
        <v>47484</v>
      </c>
      <c r="B84" s="15">
        <f t="shared" si="21"/>
        <v>0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0</v>
      </c>
      <c r="J84" s="39">
        <f t="shared" si="23"/>
        <v>2319.2944496660225</v>
      </c>
      <c r="K84" s="15">
        <f t="shared" si="18"/>
        <v>0</v>
      </c>
      <c r="L84" s="39">
        <f t="shared" si="19"/>
        <v>2319.2944496660225</v>
      </c>
      <c r="M84" s="15">
        <f t="shared" si="14"/>
        <v>0</v>
      </c>
      <c r="N84" s="15">
        <f t="shared" si="20"/>
        <v>2029.3826434577693</v>
      </c>
    </row>
    <row r="85" spans="1:18">
      <c r="A85" s="38">
        <f t="shared" si="10"/>
        <v>47849</v>
      </c>
      <c r="B85" s="15">
        <f>IF(E64=0,0,B84)</f>
        <v>0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0</v>
      </c>
      <c r="J85" s="39">
        <f>IF(E64=0,J84,IF(E$6=1,(E$4)/(E$5/365)*LN((E$4)/E7)/1000,(E$4)^E$6*((E$4)^(1-E$6)-E7^(1-E$6))/((1-E$6)*E$5/365)/1000))</f>
        <v>2319.2944496660225</v>
      </c>
      <c r="K85" s="15">
        <f t="shared" si="18"/>
        <v>0</v>
      </c>
      <c r="L85" s="39">
        <f t="shared" si="19"/>
        <v>2319.2944496660225</v>
      </c>
      <c r="M85" s="15">
        <f t="shared" si="14"/>
        <v>0</v>
      </c>
      <c r="N85" s="15">
        <f t="shared" si="20"/>
        <v>2029.3826434577693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3550</v>
      </c>
      <c r="N92" s="41">
        <f t="shared" ref="N92:N107" si="24">L92-M92</f>
        <v>-3550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3071.1279599406871</v>
      </c>
      <c r="I93" s="41">
        <f t="shared" ref="I93:I107" si="28">E71*K50*E$27+E71*(K50-E$14)*G$27+K71*L50*E$27+K71*(L50-E$15)*G$27+D93*M50*(E$27+G$27)/1000</f>
        <v>383.89099499258589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435.18907937136811</v>
      </c>
      <c r="L93" s="41">
        <f t="shared" ref="L93:L107" si="30">H93+J93-I93-K93</f>
        <v>2252.0478855767328</v>
      </c>
      <c r="M93" s="41">
        <f t="shared" ref="M93:M105" si="31">IF(B72&lt;B71,E$25*(1+E$22/365)^(A50-A$50),0)</f>
        <v>0</v>
      </c>
      <c r="N93" s="41">
        <f t="shared" si="24"/>
        <v>2252.0478855767328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2098.4801780520529</v>
      </c>
      <c r="I94" s="41">
        <f t="shared" si="28"/>
        <v>262.31002225650661</v>
      </c>
      <c r="J94" s="41">
        <f t="shared" si="29"/>
        <v>0</v>
      </c>
      <c r="K94" s="41">
        <f>IF(H94=0,0,((B72*E$16+E$19)*12+E72*(E$17+E$20)+K72*(E$18+E$21))*(1+E$22)^((A51-A$50)/365))</f>
        <v>360.33130429167943</v>
      </c>
      <c r="L94" s="41">
        <f t="shared" si="30"/>
        <v>1475.8388515038669</v>
      </c>
      <c r="M94" s="41">
        <f t="shared" si="31"/>
        <v>0</v>
      </c>
      <c r="N94" s="41">
        <f t="shared" si="24"/>
        <v>1475.8388515038669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1570.0345571305998</v>
      </c>
      <c r="I95" s="41">
        <f t="shared" si="28"/>
        <v>196.25431964132497</v>
      </c>
      <c r="J95" s="41">
        <f t="shared" si="29"/>
        <v>0</v>
      </c>
      <c r="K95" s="41">
        <f t="shared" ref="K95:K107" si="32">IF(H95=0,0,((B73*E$16+E$19)*12+E73*(E$17+E$20)+K73*(E$18+E$21))*(1+E$22)^((A52-A$50)/365))</f>
        <v>304.45861872717353</v>
      </c>
      <c r="L95" s="41">
        <f t="shared" si="30"/>
        <v>1069.3216187621015</v>
      </c>
      <c r="M95" s="41">
        <f t="shared" si="31"/>
        <v>0</v>
      </c>
      <c r="N95" s="41">
        <f t="shared" si="24"/>
        <v>1069.3216187621015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1231.4120920922617</v>
      </c>
      <c r="I96" s="41">
        <f t="shared" si="28"/>
        <v>153.92651151153271</v>
      </c>
      <c r="J96" s="41">
        <f t="shared" si="29"/>
        <v>0</v>
      </c>
      <c r="K96" s="41">
        <f t="shared" si="32"/>
        <v>263.24843671910253</v>
      </c>
      <c r="L96" s="41">
        <f t="shared" si="30"/>
        <v>814.23714386162646</v>
      </c>
      <c r="M96" s="41">
        <f t="shared" si="31"/>
        <v>0</v>
      </c>
      <c r="N96" s="41">
        <f t="shared" si="24"/>
        <v>814.23714386162646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936.89024034680403</v>
      </c>
      <c r="I97" s="41">
        <f t="shared" si="28"/>
        <v>117.1112800433505</v>
      </c>
      <c r="J97" s="41">
        <f t="shared" si="29"/>
        <v>0</v>
      </c>
      <c r="K97" s="41">
        <f t="shared" si="32"/>
        <v>232.17126752793433</v>
      </c>
      <c r="L97" s="41">
        <f t="shared" si="30"/>
        <v>587.60769277551924</v>
      </c>
      <c r="M97" s="41">
        <f t="shared" si="31"/>
        <v>0</v>
      </c>
      <c r="N97" s="41">
        <f t="shared" si="24"/>
        <v>587.60769277551924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714.12711141725413</v>
      </c>
      <c r="I98" s="41">
        <f t="shared" si="28"/>
        <v>89.265888927156766</v>
      </c>
      <c r="J98" s="41">
        <f t="shared" si="29"/>
        <v>0</v>
      </c>
      <c r="K98" s="41">
        <f t="shared" si="32"/>
        <v>209.70068973049496</v>
      </c>
      <c r="L98" s="41">
        <f t="shared" si="30"/>
        <v>415.1605327596024</v>
      </c>
      <c r="M98" s="41">
        <f t="shared" si="31"/>
        <v>0</v>
      </c>
      <c r="N98" s="41">
        <f t="shared" si="24"/>
        <v>415.1605327596024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543.92250935700474</v>
      </c>
      <c r="I99" s="41">
        <f t="shared" si="28"/>
        <v>67.990313669625593</v>
      </c>
      <c r="J99" s="41">
        <f t="shared" si="29"/>
        <v>0</v>
      </c>
      <c r="K99" s="41">
        <f t="shared" si="32"/>
        <v>193.42676679824035</v>
      </c>
      <c r="L99" s="41">
        <f t="shared" si="30"/>
        <v>282.50542888913878</v>
      </c>
      <c r="M99" s="41">
        <f t="shared" si="31"/>
        <v>0</v>
      </c>
      <c r="N99" s="41">
        <f t="shared" si="24"/>
        <v>282.50542888913878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414.01661038999515</v>
      </c>
      <c r="I100" s="41">
        <f t="shared" si="28"/>
        <v>51.752076298749394</v>
      </c>
      <c r="J100" s="41">
        <f t="shared" si="29"/>
        <v>0</v>
      </c>
      <c r="K100" s="41">
        <f t="shared" si="32"/>
        <v>181.94763635605941</v>
      </c>
      <c r="L100" s="41">
        <f t="shared" si="30"/>
        <v>180.31689773518636</v>
      </c>
      <c r="M100" s="41">
        <f t="shared" si="31"/>
        <v>0</v>
      </c>
      <c r="N100" s="41">
        <f t="shared" si="24"/>
        <v>180.31689773518636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310.78759813146462</v>
      </c>
      <c r="I101" s="41">
        <f t="shared" si="28"/>
        <v>38.848449766433077</v>
      </c>
      <c r="J101" s="41">
        <f t="shared" si="29"/>
        <v>0</v>
      </c>
      <c r="K101" s="41">
        <f t="shared" si="32"/>
        <v>173.79965619060482</v>
      </c>
      <c r="L101" s="41">
        <f t="shared" si="30"/>
        <v>98.139492174426721</v>
      </c>
      <c r="M101" s="41">
        <f t="shared" si="31"/>
        <v>0</v>
      </c>
      <c r="N101" s="41">
        <f t="shared" si="24"/>
        <v>98.139492174426721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234.78890531916772</v>
      </c>
      <c r="I102" s="41">
        <f t="shared" si="28"/>
        <v>29.348613164895966</v>
      </c>
      <c r="J102" s="41">
        <f t="shared" si="29"/>
        <v>0</v>
      </c>
      <c r="K102" s="41">
        <f t="shared" si="32"/>
        <v>168.47771404331664</v>
      </c>
      <c r="L102" s="41">
        <f t="shared" si="30"/>
        <v>36.962578110955121</v>
      </c>
      <c r="M102" s="41">
        <f t="shared" si="31"/>
        <v>0</v>
      </c>
      <c r="N102" s="41">
        <f t="shared" si="24"/>
        <v>36.962578110955121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76.308827347427979</v>
      </c>
      <c r="I103" s="41">
        <f t="shared" si="28"/>
        <v>9.5386034184284973</v>
      </c>
      <c r="J103" s="41">
        <f t="shared" si="29"/>
        <v>0</v>
      </c>
      <c r="K103" s="41">
        <f t="shared" si="32"/>
        <v>154.43277227276786</v>
      </c>
      <c r="L103" s="41">
        <f t="shared" si="30"/>
        <v>-87.662548343768378</v>
      </c>
      <c r="M103" s="41">
        <f t="shared" si="31"/>
        <v>458.07372041104065</v>
      </c>
      <c r="N103" s="41">
        <f t="shared" si="24"/>
        <v>-545.73626875480909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0</v>
      </c>
      <c r="I104" s="41">
        <f t="shared" si="28"/>
        <v>0</v>
      </c>
      <c r="J104" s="41">
        <f t="shared" si="29"/>
        <v>0</v>
      </c>
      <c r="K104" s="41">
        <f t="shared" si="32"/>
        <v>0</v>
      </c>
      <c r="L104" s="41">
        <f t="shared" si="30"/>
        <v>0</v>
      </c>
      <c r="M104" s="41">
        <f t="shared" si="31"/>
        <v>0</v>
      </c>
      <c r="N104" s="41">
        <f t="shared" si="24"/>
        <v>0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0</v>
      </c>
      <c r="I105" s="41">
        <f t="shared" si="28"/>
        <v>0</v>
      </c>
      <c r="J105" s="41">
        <f t="shared" si="29"/>
        <v>0</v>
      </c>
      <c r="K105" s="41">
        <f t="shared" si="32"/>
        <v>0</v>
      </c>
      <c r="L105" s="41">
        <f t="shared" si="30"/>
        <v>0</v>
      </c>
      <c r="M105" s="41">
        <f t="shared" si="31"/>
        <v>0</v>
      </c>
      <c r="N105" s="41">
        <f t="shared" si="24"/>
        <v>0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0</v>
      </c>
      <c r="I106" s="41">
        <f t="shared" si="28"/>
        <v>0</v>
      </c>
      <c r="J106" s="41">
        <f t="shared" si="29"/>
        <v>0</v>
      </c>
      <c r="K106" s="41">
        <f t="shared" si="32"/>
        <v>0</v>
      </c>
      <c r="L106" s="41">
        <f t="shared" si="30"/>
        <v>0</v>
      </c>
      <c r="M106" s="41">
        <f>IF(B85&lt;B84,E$25*(1+E$22/365)^(A63-A$50),0)</f>
        <v>0</v>
      </c>
      <c r="N106" s="41">
        <f t="shared" si="24"/>
        <v>0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0</v>
      </c>
      <c r="I107" s="41">
        <f t="shared" si="28"/>
        <v>0</v>
      </c>
      <c r="J107" s="41">
        <f t="shared" si="29"/>
        <v>0</v>
      </c>
      <c r="K107" s="41">
        <f t="shared" si="32"/>
        <v>0</v>
      </c>
      <c r="L107" s="41">
        <f t="shared" si="30"/>
        <v>0</v>
      </c>
      <c r="M107" s="41">
        <f>IF(B86&lt;B85,E$25*(1+E$22/365)^(A64-A$50),0)</f>
        <v>0</v>
      </c>
      <c r="N107" s="41">
        <f t="shared" si="24"/>
        <v>0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4" workbookViewId="0">
      <selection activeCell="E30" sqref="E30:E37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485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75">
        <f>'Ord Gas'!I47</f>
        <v>1800</v>
      </c>
      <c r="F4" s="14" t="s">
        <v>212</v>
      </c>
      <c r="G4" s="15"/>
    </row>
    <row r="5" spans="1:21" ht="15.75">
      <c r="A5" s="14" t="s">
        <v>184</v>
      </c>
      <c r="B5" s="14"/>
      <c r="E5" s="26">
        <f>'Ord Gas'!I48</f>
        <v>0.25155037049462159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'Ord Gas'!I49</f>
        <v>87.418655284909832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'Ord Gas'!G43</f>
        <v>3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'Ord Gas'!I56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'Ord Gas'!I55</f>
        <v>0.5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'Ord Gas'!I45</f>
        <v>4120</v>
      </c>
      <c r="F24" s="12" t="s">
        <v>195</v>
      </c>
    </row>
    <row r="25" spans="1:21">
      <c r="B25" s="12" t="s">
        <v>193</v>
      </c>
      <c r="E25" s="42">
        <f>'Ord Gas'!I57+'Ord Gas'!I58</f>
        <v>525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2748.0314799101534</v>
      </c>
      <c r="D32" s="12" t="s">
        <v>58</v>
      </c>
      <c r="E32" s="84">
        <f>C32/E$24</f>
        <v>0.66699793201702751</v>
      </c>
    </row>
    <row r="33" spans="1:19">
      <c r="A33" s="26">
        <v>0.05</v>
      </c>
      <c r="B33" s="12" t="s">
        <v>128</v>
      </c>
      <c r="C33" s="29">
        <f t="shared" ref="C33:C37" si="0">NPV(A33,N$92:N$107)</f>
        <v>1883.5648507729832</v>
      </c>
      <c r="D33" s="12" t="s">
        <v>58</v>
      </c>
      <c r="E33" s="84">
        <f t="shared" ref="E33:E37" si="1">C33/E$24</f>
        <v>0.45717593465363671</v>
      </c>
    </row>
    <row r="34" spans="1:19">
      <c r="A34" s="26">
        <v>0.1</v>
      </c>
      <c r="B34" s="12" t="s">
        <v>128</v>
      </c>
      <c r="C34" s="29">
        <f t="shared" si="0"/>
        <v>1184.2445657582052</v>
      </c>
      <c r="D34" s="12" t="s">
        <v>58</v>
      </c>
      <c r="E34" s="84">
        <f t="shared" si="1"/>
        <v>0.2874380013976226</v>
      </c>
    </row>
    <row r="35" spans="1:19">
      <c r="A35" s="26">
        <v>0.125</v>
      </c>
      <c r="B35" s="12" t="s">
        <v>128</v>
      </c>
      <c r="C35" s="29">
        <f t="shared" si="0"/>
        <v>892.43857861695733</v>
      </c>
      <c r="D35" s="12" t="s">
        <v>58</v>
      </c>
      <c r="E35" s="84">
        <f t="shared" si="1"/>
        <v>0.21661130548955276</v>
      </c>
      <c r="F35" s="14"/>
    </row>
    <row r="36" spans="1:19">
      <c r="A36" s="26">
        <v>0.15</v>
      </c>
      <c r="B36" s="12" t="s">
        <v>128</v>
      </c>
      <c r="C36" s="29">
        <f t="shared" si="0"/>
        <v>634.72351931411265</v>
      </c>
      <c r="D36" s="12" t="s">
        <v>58</v>
      </c>
      <c r="E36" s="84">
        <f t="shared" si="1"/>
        <v>0.15405910662963898</v>
      </c>
      <c r="F36" s="14"/>
    </row>
    <row r="37" spans="1:19">
      <c r="A37" s="26">
        <v>0.2</v>
      </c>
      <c r="B37" s="12" t="s">
        <v>128</v>
      </c>
      <c r="C37" s="29">
        <f t="shared" si="0"/>
        <v>207.27075698231479</v>
      </c>
      <c r="D37" s="12" t="s">
        <v>58</v>
      </c>
      <c r="E37" s="84">
        <f t="shared" si="1"/>
        <v>5.0308436160756018E-2</v>
      </c>
      <c r="F37" s="14"/>
    </row>
    <row r="38" spans="1:19">
      <c r="A38" s="12" t="s">
        <v>197</v>
      </c>
      <c r="C38" s="25">
        <f>IF(SUM(N92:N107)&lt;0,0,IRR(N92:N107))</f>
        <v>0.22971921871088519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2484.958338927881</v>
      </c>
      <c r="I41" s="14" t="s">
        <v>135</v>
      </c>
      <c r="J41" s="33">
        <f>C107</f>
        <v>0</v>
      </c>
      <c r="K41" s="14" t="s">
        <v>136</v>
      </c>
      <c r="L41" s="33">
        <f>F41+H41/E$42+J41</f>
        <v>414.15972315464683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1800</v>
      </c>
      <c r="F50" s="18">
        <f>E50*E$11</f>
        <v>1800</v>
      </c>
      <c r="G50" s="35">
        <f>F50*(1-$E$27)</f>
        <v>1575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1399.6697198658435</v>
      </c>
      <c r="F51" s="18">
        <f t="shared" ref="F51:F64" si="7">E51*E$11</f>
        <v>1399.6697198658435</v>
      </c>
      <c r="G51" s="35">
        <f t="shared" ref="G51:G64" si="8">F51*(1-$E$27)</f>
        <v>1224.711004882613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1088.3751803940715</v>
      </c>
      <c r="F52" s="18">
        <f t="shared" si="7"/>
        <v>1088.3751803940715</v>
      </c>
      <c r="G52" s="35">
        <f t="shared" si="8"/>
        <v>952.32828284481263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846.31432436172611</v>
      </c>
      <c r="F53" s="18">
        <f t="shared" si="7"/>
        <v>846.31432436172611</v>
      </c>
      <c r="G53" s="35">
        <f t="shared" si="8"/>
        <v>740.52503381651036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657.63580010461931</v>
      </c>
      <c r="F54" s="18">
        <f t="shared" si="7"/>
        <v>657.63580010461931</v>
      </c>
      <c r="G54" s="35">
        <f t="shared" si="8"/>
        <v>575.43132509154191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511.37384228121238</v>
      </c>
      <c r="F55" s="18">
        <f t="shared" si="7"/>
        <v>511.37384228121238</v>
      </c>
      <c r="G55" s="35">
        <f t="shared" si="8"/>
        <v>447.45211199606081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397.64137920692468</v>
      </c>
      <c r="F56" s="18">
        <f t="shared" si="7"/>
        <v>397.64137920692468</v>
      </c>
      <c r="G56" s="35">
        <f t="shared" si="8"/>
        <v>347.93620680605909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309.20366546756884</v>
      </c>
      <c r="F57" s="18">
        <f t="shared" si="7"/>
        <v>309.20366546756884</v>
      </c>
      <c r="G57" s="35">
        <f t="shared" si="8"/>
        <v>270.55320728412272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240.26935865513491</v>
      </c>
      <c r="F58" s="18">
        <f t="shared" si="7"/>
        <v>240.26935865513491</v>
      </c>
      <c r="G58" s="35">
        <f t="shared" si="8"/>
        <v>210.23568882324304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186.83208106732138</v>
      </c>
      <c r="F59" s="18">
        <f t="shared" si="7"/>
        <v>186.83208106732138</v>
      </c>
      <c r="G59" s="35">
        <f t="shared" si="8"/>
        <v>163.47807093390622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145.27955920525017</v>
      </c>
      <c r="F60" s="18">
        <f t="shared" si="7"/>
        <v>145.27955920525017</v>
      </c>
      <c r="G60" s="35">
        <f t="shared" si="8"/>
        <v>127.1196143045939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112.96855551946985</v>
      </c>
      <c r="F61" s="18">
        <f t="shared" si="7"/>
        <v>112.96855551946985</v>
      </c>
      <c r="G61" s="35">
        <f t="shared" si="8"/>
        <v>98.847486079536111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87.783184399885201</v>
      </c>
      <c r="F62" s="18">
        <f t="shared" si="7"/>
        <v>87.783184399885201</v>
      </c>
      <c r="G62" s="35">
        <f t="shared" si="8"/>
        <v>76.810286349899556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87.418655284909832</v>
      </c>
      <c r="F63" s="18">
        <f t="shared" si="7"/>
        <v>87.418655284909832</v>
      </c>
      <c r="G63" s="35">
        <f t="shared" si="8"/>
        <v>76.491323374296101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0</v>
      </c>
      <c r="F64" s="18">
        <f t="shared" si="7"/>
        <v>0</v>
      </c>
      <c r="G64" s="35">
        <f t="shared" si="8"/>
        <v>0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3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580.87989280894874</v>
      </c>
      <c r="J71" s="39">
        <f>IF(E51=0,0,IF(E$6=1,(E$4)/(E$5/365)*LN((E$4)/E51)/1000,(E$4)^E$6*((E$4)^(1-E$6)-E51^(1-E$6))/((1-E$6)*E$5/365)/1000))</f>
        <v>580.87989280894874</v>
      </c>
      <c r="K71" s="15">
        <f>I71*E$11</f>
        <v>580.87989280894874</v>
      </c>
      <c r="L71" s="39">
        <f>J71*E$11</f>
        <v>580.87989280894874</v>
      </c>
      <c r="M71" s="15">
        <f t="shared" ref="M71:M85" si="14">IF(K71=0,0,(H93-I93)/H93*K71)</f>
        <v>508.26990620783016</v>
      </c>
      <c r="N71" s="15">
        <f>M71</f>
        <v>508.26990620783016</v>
      </c>
    </row>
    <row r="72" spans="1:14">
      <c r="A72" s="38">
        <f t="shared" si="10"/>
        <v>43101</v>
      </c>
      <c r="B72" s="15">
        <f>IF(E52=0,0,B71)</f>
        <v>3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451.68888713533477</v>
      </c>
      <c r="J72" s="39">
        <f>IF(E52=0,J71,IF(E$6=1,(E$4)/(E$5/365)*LN((E$4)/E52)/1000,(E$4)^E$6*((E$4)^(1-E$6)-E52^(1-E$6))/((1-E$6)*E$5/365)/1000))</f>
        <v>1032.5687799442835</v>
      </c>
      <c r="K72" s="15">
        <f t="shared" ref="K72:K85" si="18">I72*E$11</f>
        <v>451.68888713533477</v>
      </c>
      <c r="L72" s="39">
        <f t="shared" ref="L72:L85" si="19">J72*E$11</f>
        <v>1032.5687799442835</v>
      </c>
      <c r="M72" s="15">
        <f t="shared" si="14"/>
        <v>395.22777624341791</v>
      </c>
      <c r="N72" s="15">
        <f t="shared" ref="N72:N85" si="20">M72+N71</f>
        <v>903.49768245124801</v>
      </c>
    </row>
    <row r="73" spans="1:14">
      <c r="A73" s="38">
        <f t="shared" si="10"/>
        <v>43466</v>
      </c>
      <c r="B73" s="15">
        <f t="shared" ref="B73:B84" si="21">IF(E53=0,0,B72)</f>
        <v>3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351.23069895734898</v>
      </c>
      <c r="J73" s="39">
        <f t="shared" ref="J73:J84" si="23">IF(E53=0,J72,IF(E$6=1,(E$4)/(E$5/365)*LN((E$4)/E53)/1000,(E$4)^E$6*((E$4)^(1-E$6)-E53^(1-E$6))/((1-E$6)*E$5/365)/1000))</f>
        <v>1383.7994789016325</v>
      </c>
      <c r="K73" s="15">
        <f t="shared" si="18"/>
        <v>351.23069895734898</v>
      </c>
      <c r="L73" s="39">
        <f t="shared" si="19"/>
        <v>1383.7994789016325</v>
      </c>
      <c r="M73" s="15">
        <f t="shared" si="14"/>
        <v>307.32686158768036</v>
      </c>
      <c r="N73" s="15">
        <f t="shared" si="20"/>
        <v>1210.8245440389283</v>
      </c>
    </row>
    <row r="74" spans="1:14">
      <c r="A74" s="38">
        <f t="shared" si="10"/>
        <v>43831</v>
      </c>
      <c r="B74" s="15">
        <f t="shared" si="21"/>
        <v>3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273.77284803210637</v>
      </c>
      <c r="J74" s="39">
        <f t="shared" si="23"/>
        <v>1657.5723269337389</v>
      </c>
      <c r="K74" s="15">
        <f t="shared" si="18"/>
        <v>273.77284803210637</v>
      </c>
      <c r="L74" s="39">
        <f t="shared" si="19"/>
        <v>1657.5723269337389</v>
      </c>
      <c r="M74" s="15">
        <f t="shared" si="14"/>
        <v>239.5512420280931</v>
      </c>
      <c r="N74" s="15">
        <f t="shared" si="20"/>
        <v>1450.3757860670214</v>
      </c>
    </row>
    <row r="75" spans="1:14">
      <c r="A75" s="38">
        <f t="shared" si="10"/>
        <v>44197</v>
      </c>
      <c r="B75" s="15">
        <f t="shared" si="21"/>
        <v>3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212.22634059561005</v>
      </c>
      <c r="J75" s="39">
        <f t="shared" si="23"/>
        <v>1869.7986675293489</v>
      </c>
      <c r="K75" s="15">
        <f t="shared" si="18"/>
        <v>212.22634059561005</v>
      </c>
      <c r="L75" s="39">
        <f t="shared" si="19"/>
        <v>1869.7986675293489</v>
      </c>
      <c r="M75" s="15">
        <f t="shared" si="14"/>
        <v>185.6980480211588</v>
      </c>
      <c r="N75" s="15">
        <f t="shared" si="20"/>
        <v>1636.0738340881803</v>
      </c>
    </row>
    <row r="76" spans="1:14">
      <c r="A76" s="38">
        <f t="shared" si="10"/>
        <v>44562</v>
      </c>
      <c r="B76" s="15">
        <f t="shared" si="21"/>
        <v>3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165.025990383117</v>
      </c>
      <c r="J76" s="39">
        <f t="shared" si="23"/>
        <v>2034.8246579124659</v>
      </c>
      <c r="K76" s="15">
        <f t="shared" si="18"/>
        <v>165.025990383117</v>
      </c>
      <c r="L76" s="39">
        <f t="shared" si="19"/>
        <v>2034.8246579124659</v>
      </c>
      <c r="M76" s="15">
        <f t="shared" si="14"/>
        <v>144.39774158522738</v>
      </c>
      <c r="N76" s="15">
        <f t="shared" si="20"/>
        <v>1780.4715756734076</v>
      </c>
    </row>
    <row r="77" spans="1:14">
      <c r="A77" s="38">
        <f t="shared" si="10"/>
        <v>44927</v>
      </c>
      <c r="B77" s="15">
        <f t="shared" si="21"/>
        <v>3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128.3232676278451</v>
      </c>
      <c r="J77" s="39">
        <f t="shared" si="23"/>
        <v>2163.147925540311</v>
      </c>
      <c r="K77" s="15">
        <f t="shared" si="18"/>
        <v>128.3232676278451</v>
      </c>
      <c r="L77" s="39">
        <f t="shared" si="19"/>
        <v>2163.147925540311</v>
      </c>
      <c r="M77" s="15">
        <f t="shared" si="14"/>
        <v>112.28285917436446</v>
      </c>
      <c r="N77" s="15">
        <f t="shared" si="20"/>
        <v>1892.754434847772</v>
      </c>
    </row>
    <row r="78" spans="1:14">
      <c r="A78" s="38">
        <f t="shared" si="10"/>
        <v>45292</v>
      </c>
      <c r="B78" s="15">
        <f t="shared" si="21"/>
        <v>3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100.02379220139665</v>
      </c>
      <c r="J78" s="39">
        <f t="shared" si="23"/>
        <v>2263.1717177417077</v>
      </c>
      <c r="K78" s="15">
        <f t="shared" si="18"/>
        <v>100.02379220139665</v>
      </c>
      <c r="L78" s="39">
        <f t="shared" si="19"/>
        <v>2263.1717177417077</v>
      </c>
      <c r="M78" s="15">
        <f t="shared" si="14"/>
        <v>87.520818176222065</v>
      </c>
      <c r="N78" s="15">
        <f t="shared" si="20"/>
        <v>1980.2752530239941</v>
      </c>
    </row>
    <row r="79" spans="1:14">
      <c r="A79" s="38">
        <f t="shared" si="10"/>
        <v>45658</v>
      </c>
      <c r="B79" s="15">
        <f t="shared" si="21"/>
        <v>3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77.537577389372018</v>
      </c>
      <c r="J79" s="39">
        <f t="shared" si="23"/>
        <v>2340.7092951310797</v>
      </c>
      <c r="K79" s="15">
        <f t="shared" si="18"/>
        <v>77.537577389372018</v>
      </c>
      <c r="L79" s="39">
        <f t="shared" si="19"/>
        <v>2340.7092951310797</v>
      </c>
      <c r="M79" s="15">
        <f t="shared" si="14"/>
        <v>67.845380215700516</v>
      </c>
      <c r="N79" s="15">
        <f t="shared" si="20"/>
        <v>2048.1206332396946</v>
      </c>
    </row>
    <row r="80" spans="1:14">
      <c r="A80" s="38">
        <f t="shared" si="10"/>
        <v>46023</v>
      </c>
      <c r="B80" s="15">
        <f t="shared" si="21"/>
        <v>3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60.292777346477124</v>
      </c>
      <c r="J80" s="39">
        <f t="shared" si="23"/>
        <v>2401.0020724775568</v>
      </c>
      <c r="K80" s="15">
        <f t="shared" si="18"/>
        <v>60.292777346477124</v>
      </c>
      <c r="L80" s="39">
        <f t="shared" si="19"/>
        <v>2401.0020724775568</v>
      </c>
      <c r="M80" s="15">
        <f t="shared" si="14"/>
        <v>52.756180178167483</v>
      </c>
      <c r="N80" s="15">
        <f t="shared" si="20"/>
        <v>2100.8768134178622</v>
      </c>
    </row>
    <row r="81" spans="1:18">
      <c r="A81" s="38">
        <f t="shared" si="10"/>
        <v>46388</v>
      </c>
      <c r="B81" s="15">
        <f t="shared" si="21"/>
        <v>3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46.883319321376348</v>
      </c>
      <c r="J81" s="39">
        <f t="shared" si="23"/>
        <v>2447.8853917989331</v>
      </c>
      <c r="K81" s="15">
        <f t="shared" si="18"/>
        <v>46.883319321376348</v>
      </c>
      <c r="L81" s="39">
        <f t="shared" si="19"/>
        <v>2447.8853917989331</v>
      </c>
      <c r="M81" s="15">
        <f t="shared" si="14"/>
        <v>41.022904406204304</v>
      </c>
      <c r="N81" s="15">
        <f t="shared" si="20"/>
        <v>2141.8997178240666</v>
      </c>
    </row>
    <row r="82" spans="1:18">
      <c r="A82" s="38">
        <f t="shared" si="10"/>
        <v>46753</v>
      </c>
      <c r="B82" s="15">
        <f t="shared" si="21"/>
        <v>3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36.544014785479703</v>
      </c>
      <c r="J82" s="39">
        <f t="shared" si="23"/>
        <v>2484.4294065844128</v>
      </c>
      <c r="K82" s="15">
        <f t="shared" si="18"/>
        <v>36.544014785479703</v>
      </c>
      <c r="L82" s="39">
        <f t="shared" si="19"/>
        <v>2484.4294065844128</v>
      </c>
      <c r="M82" s="15">
        <f t="shared" si="14"/>
        <v>31.97601293729474</v>
      </c>
      <c r="N82" s="15">
        <f t="shared" si="20"/>
        <v>2173.8757307613614</v>
      </c>
    </row>
    <row r="83" spans="1:18">
      <c r="A83" s="38">
        <f t="shared" si="10"/>
        <v>47119</v>
      </c>
      <c r="B83" s="15">
        <f t="shared" si="21"/>
        <v>3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0.52893234346811369</v>
      </c>
      <c r="J83" s="39">
        <f t="shared" si="23"/>
        <v>2484.958338927881</v>
      </c>
      <c r="K83" s="15">
        <f t="shared" si="18"/>
        <v>0.52893234346811369</v>
      </c>
      <c r="L83" s="39">
        <f t="shared" si="19"/>
        <v>2484.958338927881</v>
      </c>
      <c r="M83" s="15">
        <f t="shared" si="14"/>
        <v>0.46281580053459948</v>
      </c>
      <c r="N83" s="15">
        <f t="shared" si="20"/>
        <v>2174.3385465618958</v>
      </c>
    </row>
    <row r="84" spans="1:18">
      <c r="A84" s="38">
        <f t="shared" si="10"/>
        <v>47484</v>
      </c>
      <c r="B84" s="15">
        <f t="shared" si="21"/>
        <v>0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0</v>
      </c>
      <c r="J84" s="39">
        <f t="shared" si="23"/>
        <v>2484.958338927881</v>
      </c>
      <c r="K84" s="15">
        <f t="shared" si="18"/>
        <v>0</v>
      </c>
      <c r="L84" s="39">
        <f t="shared" si="19"/>
        <v>2484.958338927881</v>
      </c>
      <c r="M84" s="15">
        <f t="shared" si="14"/>
        <v>0</v>
      </c>
      <c r="N84" s="15">
        <f t="shared" si="20"/>
        <v>2174.3385465618958</v>
      </c>
    </row>
    <row r="85" spans="1:18">
      <c r="A85" s="38">
        <f t="shared" si="10"/>
        <v>47849</v>
      </c>
      <c r="B85" s="15">
        <f>IF(E64=0,0,B84)</f>
        <v>0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0</v>
      </c>
      <c r="J85" s="39">
        <f>IF(E64=0,J84,IF(E$6=1,(E$4)/(E$5/365)*LN((E$4)/E7)/1000,(E$4)^E$6*((E$4)^(1-E$6)-E7^(1-E$6))/((1-E$6)*E$5/365)/1000))</f>
        <v>2484.958338927881</v>
      </c>
      <c r="K85" s="15">
        <f t="shared" si="18"/>
        <v>0</v>
      </c>
      <c r="L85" s="39">
        <f t="shared" si="19"/>
        <v>2484.958338927881</v>
      </c>
      <c r="M85" s="15">
        <f t="shared" si="14"/>
        <v>0</v>
      </c>
      <c r="N85" s="15">
        <f t="shared" si="20"/>
        <v>2174.3385465618958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4120</v>
      </c>
      <c r="N92" s="41">
        <f t="shared" ref="N92:N107" si="24">L92-M92</f>
        <v>-4120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2829.9782526268691</v>
      </c>
      <c r="I93" s="41">
        <f t="shared" ref="I93:I107" si="28">E71*K50*E$27+E71*(K50-E$14)*G$27+K71*L50*E$27+K71*(L50-E$15)*G$27+D93*M50*(E$27+G$27)/1000</f>
        <v>353.74728157835864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410.43994640447437</v>
      </c>
      <c r="L93" s="41">
        <f t="shared" ref="L93:L107" si="30">H93+J93-I93-K93</f>
        <v>2065.791024644036</v>
      </c>
      <c r="M93" s="41">
        <f t="shared" ref="M93:M105" si="31">IF(B72&lt;B71,E$25*(1+E$22/365)^(A50-A$50),0)</f>
        <v>0</v>
      </c>
      <c r="N93" s="41">
        <f t="shared" si="24"/>
        <v>2065.791024644036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2031.7153783191757</v>
      </c>
      <c r="I94" s="41">
        <f t="shared" si="28"/>
        <v>253.96442228989696</v>
      </c>
      <c r="J94" s="41">
        <f t="shared" si="29"/>
        <v>0</v>
      </c>
      <c r="K94" s="41">
        <f>IF(H94=0,0,((B72*E$16+E$19)*12+E72*(E$17+E$20)+K72*(E$18+E$21))*(1+E$22)^((A51-A$50)/365))</f>
        <v>352.76133243902075</v>
      </c>
      <c r="L94" s="41">
        <f t="shared" si="30"/>
        <v>1424.9896235902579</v>
      </c>
      <c r="M94" s="41">
        <f t="shared" si="31"/>
        <v>0</v>
      </c>
      <c r="N94" s="41">
        <f t="shared" si="24"/>
        <v>1424.9896235902579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1597.1290842473315</v>
      </c>
      <c r="I95" s="41">
        <f t="shared" si="28"/>
        <v>199.64113553091644</v>
      </c>
      <c r="J95" s="41">
        <f t="shared" si="29"/>
        <v>0</v>
      </c>
      <c r="K95" s="41">
        <f t="shared" ref="K95:K107" si="32">IF(H95=0,0,((B73*E$16+E$19)*12+E73*(E$17+E$20)+K73*(E$18+E$21))*(1+E$22)^((A52-A$50)/365))</f>
        <v>307.55820959761292</v>
      </c>
      <c r="L95" s="41">
        <f t="shared" si="30"/>
        <v>1089.9297391188022</v>
      </c>
      <c r="M95" s="41">
        <f t="shared" si="31"/>
        <v>0</v>
      </c>
      <c r="N95" s="41">
        <f t="shared" si="24"/>
        <v>1089.9297391188022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1316.2359255832441</v>
      </c>
      <c r="I96" s="41">
        <f t="shared" si="28"/>
        <v>164.52949069790552</v>
      </c>
      <c r="J96" s="41">
        <f t="shared" si="29"/>
        <v>0</v>
      </c>
      <c r="K96" s="41">
        <f t="shared" si="32"/>
        <v>272.60992825722775</v>
      </c>
      <c r="L96" s="41">
        <f t="shared" si="30"/>
        <v>879.096506628111</v>
      </c>
      <c r="M96" s="41">
        <f t="shared" si="31"/>
        <v>0</v>
      </c>
      <c r="N96" s="41">
        <f t="shared" si="24"/>
        <v>879.096506628111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1052.2622056664809</v>
      </c>
      <c r="I97" s="41">
        <f t="shared" si="28"/>
        <v>131.53277570831011</v>
      </c>
      <c r="J97" s="41">
        <f t="shared" si="29"/>
        <v>0</v>
      </c>
      <c r="K97" s="41">
        <f t="shared" si="32"/>
        <v>244.76544641874699</v>
      </c>
      <c r="L97" s="41">
        <f t="shared" si="30"/>
        <v>675.96398353942391</v>
      </c>
      <c r="M97" s="41">
        <f t="shared" si="31"/>
        <v>0</v>
      </c>
      <c r="N97" s="41">
        <f t="shared" si="24"/>
        <v>675.96398353942391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842.72055799002533</v>
      </c>
      <c r="I98" s="41">
        <f t="shared" si="28"/>
        <v>105.34006974875317</v>
      </c>
      <c r="J98" s="41">
        <f t="shared" si="29"/>
        <v>0</v>
      </c>
      <c r="K98" s="41">
        <f t="shared" si="32"/>
        <v>223.60284135834507</v>
      </c>
      <c r="L98" s="41">
        <f t="shared" si="30"/>
        <v>513.777646882927</v>
      </c>
      <c r="M98" s="41">
        <f t="shared" si="31"/>
        <v>0</v>
      </c>
      <c r="N98" s="41">
        <f t="shared" si="24"/>
        <v>513.777646882927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674.40054026533312</v>
      </c>
      <c r="I99" s="41">
        <f t="shared" si="28"/>
        <v>84.30006753316664</v>
      </c>
      <c r="J99" s="41">
        <f t="shared" si="29"/>
        <v>0</v>
      </c>
      <c r="K99" s="41">
        <f t="shared" si="32"/>
        <v>207.40716338750175</v>
      </c>
      <c r="L99" s="41">
        <f t="shared" si="30"/>
        <v>382.69330934466473</v>
      </c>
      <c r="M99" s="41">
        <f t="shared" si="31"/>
        <v>0</v>
      </c>
      <c r="N99" s="41">
        <f t="shared" si="24"/>
        <v>382.69330934466473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539.3841280415221</v>
      </c>
      <c r="I100" s="41">
        <f t="shared" si="28"/>
        <v>67.423016005190263</v>
      </c>
      <c r="J100" s="41">
        <f t="shared" si="29"/>
        <v>0</v>
      </c>
      <c r="K100" s="41">
        <f t="shared" si="32"/>
        <v>195.30082389997213</v>
      </c>
      <c r="L100" s="41">
        <f t="shared" si="30"/>
        <v>276.66028813635967</v>
      </c>
      <c r="M100" s="41">
        <f t="shared" si="31"/>
        <v>0</v>
      </c>
      <c r="N100" s="41">
        <f t="shared" si="24"/>
        <v>276.66028813635967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425.45047035792857</v>
      </c>
      <c r="I101" s="41">
        <f t="shared" si="28"/>
        <v>53.181308794741071</v>
      </c>
      <c r="J101" s="41">
        <f t="shared" si="29"/>
        <v>0</v>
      </c>
      <c r="K101" s="41">
        <f t="shared" si="32"/>
        <v>186.04312667258904</v>
      </c>
      <c r="L101" s="41">
        <f t="shared" si="30"/>
        <v>186.22603489059844</v>
      </c>
      <c r="M101" s="41">
        <f t="shared" si="31"/>
        <v>0</v>
      </c>
      <c r="N101" s="41">
        <f t="shared" si="24"/>
        <v>186.22603489059844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337.70361475016671</v>
      </c>
      <c r="I102" s="41">
        <f t="shared" si="28"/>
        <v>42.212951843770838</v>
      </c>
      <c r="J102" s="41">
        <f t="shared" si="29"/>
        <v>0</v>
      </c>
      <c r="K102" s="41">
        <f t="shared" si="32"/>
        <v>179.45830483285718</v>
      </c>
      <c r="L102" s="41">
        <f t="shared" si="30"/>
        <v>116.03235807353869</v>
      </c>
      <c r="M102" s="41">
        <f t="shared" si="31"/>
        <v>0</v>
      </c>
      <c r="N102" s="41">
        <f t="shared" si="24"/>
        <v>116.03235807353869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267.98921411238393</v>
      </c>
      <c r="I103" s="41">
        <f t="shared" si="28"/>
        <v>33.498651764047992</v>
      </c>
      <c r="J103" s="41">
        <f t="shared" si="29"/>
        <v>0</v>
      </c>
      <c r="K103" s="41">
        <f t="shared" si="32"/>
        <v>174.87355679238507</v>
      </c>
      <c r="L103" s="41">
        <f t="shared" si="30"/>
        <v>59.617005555950868</v>
      </c>
      <c r="M103" s="41">
        <f t="shared" si="31"/>
        <v>0</v>
      </c>
      <c r="N103" s="41">
        <f t="shared" si="24"/>
        <v>59.617005555950868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213.15390370647697</v>
      </c>
      <c r="I104" s="41">
        <f t="shared" si="28"/>
        <v>26.644237963309621</v>
      </c>
      <c r="J104" s="41">
        <f t="shared" si="29"/>
        <v>0</v>
      </c>
      <c r="K104" s="41">
        <f t="shared" si="32"/>
        <v>171.94251761089029</v>
      </c>
      <c r="L104" s="41">
        <f t="shared" si="30"/>
        <v>14.567148132277055</v>
      </c>
      <c r="M104" s="41">
        <f t="shared" si="31"/>
        <v>0</v>
      </c>
      <c r="N104" s="41">
        <f t="shared" si="24"/>
        <v>14.567148132277055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3.1396484284756987</v>
      </c>
      <c r="I105" s="41">
        <f t="shared" si="28"/>
        <v>0.39245605355946234</v>
      </c>
      <c r="J105" s="41">
        <f t="shared" si="29"/>
        <v>0</v>
      </c>
      <c r="K105" s="41">
        <f t="shared" si="32"/>
        <v>152.54924949649629</v>
      </c>
      <c r="L105" s="41">
        <f t="shared" si="30"/>
        <v>-149.80205712158005</v>
      </c>
      <c r="M105" s="41">
        <f t="shared" si="31"/>
        <v>667.51113150521348</v>
      </c>
      <c r="N105" s="41">
        <f t="shared" si="24"/>
        <v>-817.31318862679359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0</v>
      </c>
      <c r="I106" s="41">
        <f t="shared" si="28"/>
        <v>0</v>
      </c>
      <c r="J106" s="41">
        <f t="shared" si="29"/>
        <v>0</v>
      </c>
      <c r="K106" s="41">
        <f t="shared" si="32"/>
        <v>0</v>
      </c>
      <c r="L106" s="41">
        <f t="shared" si="30"/>
        <v>0</v>
      </c>
      <c r="M106" s="41">
        <f>IF(B85&lt;B84,E$25*(1+E$22/365)^(A63-A$50),0)</f>
        <v>0</v>
      </c>
      <c r="N106" s="41">
        <f t="shared" si="24"/>
        <v>0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0</v>
      </c>
      <c r="I107" s="41">
        <f t="shared" si="28"/>
        <v>0</v>
      </c>
      <c r="J107" s="41">
        <f t="shared" si="29"/>
        <v>0</v>
      </c>
      <c r="K107" s="41">
        <f t="shared" si="32"/>
        <v>0</v>
      </c>
      <c r="L107" s="41">
        <f t="shared" si="30"/>
        <v>0</v>
      </c>
      <c r="M107" s="41">
        <f>IF(B86&lt;B85,E$25*(1+E$22/365)^(A64-A$50),0)</f>
        <v>0</v>
      </c>
      <c r="N107" s="41">
        <f t="shared" si="24"/>
        <v>0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3" workbookViewId="0">
      <selection activeCell="E34" sqref="E34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327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'Ord Oil'!I27</f>
        <v>980</v>
      </c>
      <c r="F4" s="14" t="s">
        <v>96</v>
      </c>
      <c r="G4" s="15"/>
    </row>
    <row r="5" spans="1:17" ht="15.75">
      <c r="A5" s="14" t="s">
        <v>184</v>
      </c>
      <c r="B5" s="14"/>
      <c r="E5" s="16">
        <f>'Ord Oil'!I28</f>
        <v>0.18094132714806097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'Ord Oil'!I29</f>
        <v>28.916048666078396</v>
      </c>
      <c r="F7" s="14" t="s">
        <v>96</v>
      </c>
    </row>
    <row r="8" spans="1:17" ht="14.25">
      <c r="A8" s="14" t="s">
        <v>100</v>
      </c>
      <c r="B8" s="14"/>
      <c r="E8" s="74">
        <f>G8*0.02832784*6.2897</f>
        <v>149.82585026025404</v>
      </c>
      <c r="F8" s="14" t="s">
        <v>101</v>
      </c>
      <c r="G8" s="19">
        <f>'Ord Oil'!I32</f>
        <v>840.89807602383405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'Ord Oil'!G23</f>
        <v>14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'Ord Oil'!I36</f>
        <v>50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'Ord Oil'!I35</f>
        <v>8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'Ord Oil'!I25</f>
        <v>10350</v>
      </c>
      <c r="F23" s="12" t="s">
        <v>195</v>
      </c>
      <c r="R23" s="24"/>
      <c r="U23" s="25"/>
    </row>
    <row r="24" spans="1:21">
      <c r="B24" s="12" t="s">
        <v>193</v>
      </c>
      <c r="E24" s="41">
        <f>'Ord Oil'!I14*'Ord Oil'!G23+'Ord Oil'!I16</f>
        <v>990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115700.12450700517</v>
      </c>
      <c r="D31" s="12" t="s">
        <v>58</v>
      </c>
      <c r="E31" s="84">
        <f>C31/E$23</f>
        <v>11.178755991014992</v>
      </c>
    </row>
    <row r="32" spans="1:21">
      <c r="A32" s="26">
        <v>0.05</v>
      </c>
      <c r="B32" s="12" t="s">
        <v>128</v>
      </c>
      <c r="C32" s="29">
        <f>NPV(A32,N$91:N$106)</f>
        <v>83397.304130794495</v>
      </c>
      <c r="D32" s="12" t="s">
        <v>58</v>
      </c>
      <c r="E32" s="84">
        <f t="shared" ref="E32:E36" si="0">C32/E$23</f>
        <v>8.057710544038116</v>
      </c>
    </row>
    <row r="33" spans="1:19">
      <c r="A33" s="26">
        <v>0.1</v>
      </c>
      <c r="B33" s="12" t="s">
        <v>128</v>
      </c>
      <c r="C33" s="29">
        <f t="shared" ref="C33:C36" si="1">NPV(A33,N$91:N$106)</f>
        <v>62720.933454601865</v>
      </c>
      <c r="D33" s="12" t="s">
        <v>58</v>
      </c>
      <c r="E33" s="84">
        <f t="shared" si="0"/>
        <v>6.0599935704929342</v>
      </c>
    </row>
    <row r="34" spans="1:19">
      <c r="A34" s="26">
        <v>0.125</v>
      </c>
      <c r="B34" s="12" t="s">
        <v>128</v>
      </c>
      <c r="C34" s="29">
        <f t="shared" si="1"/>
        <v>55089.427484974971</v>
      </c>
      <c r="D34" s="12" t="s">
        <v>58</v>
      </c>
      <c r="E34" s="84">
        <f t="shared" si="0"/>
        <v>5.3226499985483064</v>
      </c>
      <c r="F34" s="14"/>
    </row>
    <row r="35" spans="1:19">
      <c r="A35" s="26">
        <v>0.15</v>
      </c>
      <c r="B35" s="12" t="s">
        <v>128</v>
      </c>
      <c r="C35" s="29">
        <f t="shared" si="1"/>
        <v>48731.495294566957</v>
      </c>
      <c r="D35" s="12" t="s">
        <v>58</v>
      </c>
      <c r="E35" s="84">
        <f t="shared" si="0"/>
        <v>4.7083570332914935</v>
      </c>
      <c r="F35" s="14"/>
    </row>
    <row r="36" spans="1:19">
      <c r="A36" s="26">
        <v>0.2</v>
      </c>
      <c r="B36" s="12" t="s">
        <v>128</v>
      </c>
      <c r="C36" s="29">
        <f t="shared" si="1"/>
        <v>38825.257283606006</v>
      </c>
      <c r="D36" s="12" t="s">
        <v>58</v>
      </c>
      <c r="E36" s="84">
        <f t="shared" si="0"/>
        <v>3.7512325877880199</v>
      </c>
      <c r="F36" s="14"/>
    </row>
    <row r="37" spans="1:19">
      <c r="A37" s="12" t="s">
        <v>197</v>
      </c>
      <c r="C37" s="25">
        <f>IRR(N91:N106, 1)</f>
        <v>1.7289789327950156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75">
        <f>D84</f>
        <v>1918.5536422689022</v>
      </c>
      <c r="G40" s="14" t="s">
        <v>76</v>
      </c>
      <c r="H40" s="75">
        <f>J84</f>
        <v>1613.3080665324392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2187.4383200243087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343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980</v>
      </c>
      <c r="C49" s="18">
        <f t="shared" ref="C49:C63" si="2">B49*E$11</f>
        <v>980</v>
      </c>
      <c r="D49" s="35">
        <f t="shared" ref="D49:D63" si="3">C49*(1-$E$26-G$26*(K49-E$14)/K49)+B49*$K$26</f>
        <v>857.5</v>
      </c>
      <c r="E49" s="18">
        <f t="shared" ref="E49:G63" si="4">B49*$G$8/1000</f>
        <v>824.08011450335732</v>
      </c>
      <c r="F49" s="18">
        <f t="shared" si="4"/>
        <v>824.08011450335732</v>
      </c>
      <c r="G49" s="18">
        <f t="shared" si="4"/>
        <v>721.07010019043776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Prices!K41</f>
        <v>74.148255004335638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817.7946324576576</v>
      </c>
      <c r="C50" s="18">
        <f t="shared" si="2"/>
        <v>817.7946324576576</v>
      </c>
      <c r="D50" s="35">
        <f t="shared" si="3"/>
        <v>715.57030340045037</v>
      </c>
      <c r="E50" s="18">
        <f t="shared" si="4"/>
        <v>687.68193301626286</v>
      </c>
      <c r="F50" s="18">
        <f t="shared" si="4"/>
        <v>687.68193301626286</v>
      </c>
      <c r="G50" s="18">
        <f t="shared" si="4"/>
        <v>601.72169138922993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Prices!K42</f>
        <v>78.840702357046183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682.43679681281139</v>
      </c>
      <c r="C51" s="18">
        <f t="shared" si="2"/>
        <v>682.43679681281139</v>
      </c>
      <c r="D51" s="35">
        <f t="shared" si="3"/>
        <v>597.13219721120993</v>
      </c>
      <c r="E51" s="18">
        <f t="shared" si="4"/>
        <v>573.85978944776127</v>
      </c>
      <c r="F51" s="18">
        <f t="shared" si="4"/>
        <v>573.85978944776127</v>
      </c>
      <c r="G51" s="18">
        <f t="shared" si="4"/>
        <v>502.12731576679107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Prices!K43</f>
        <v>82.088638396292723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569.48280553583095</v>
      </c>
      <c r="C52" s="18">
        <f t="shared" si="2"/>
        <v>569.48280553583095</v>
      </c>
      <c r="D52" s="35">
        <f t="shared" si="3"/>
        <v>498.29745484385205</v>
      </c>
      <c r="E52" s="18">
        <f t="shared" si="4"/>
        <v>478.87699550373549</v>
      </c>
      <c r="F52" s="18">
        <f t="shared" si="4"/>
        <v>478.87699550373549</v>
      </c>
      <c r="G52" s="18">
        <f t="shared" si="4"/>
        <v>419.01737106576854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Prices!K44</f>
        <v>85.303426079002165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474.98894658140921</v>
      </c>
      <c r="C53" s="18">
        <f t="shared" si="2"/>
        <v>474.98894658140921</v>
      </c>
      <c r="D53" s="35">
        <f t="shared" si="3"/>
        <v>415.61532825873303</v>
      </c>
      <c r="E53" s="18">
        <f t="shared" si="4"/>
        <v>399.41729131289469</v>
      </c>
      <c r="F53" s="18">
        <f t="shared" si="4"/>
        <v>399.41729131289469</v>
      </c>
      <c r="G53" s="18">
        <f t="shared" si="4"/>
        <v>349.49012989878281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Prices!K45</f>
        <v>88.516798196292726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396.37082754183012</v>
      </c>
      <c r="C54" s="18">
        <f t="shared" si="2"/>
        <v>396.37082754183012</v>
      </c>
      <c r="D54" s="35">
        <f t="shared" si="3"/>
        <v>346.82447409910134</v>
      </c>
      <c r="E54" s="18">
        <f t="shared" si="4"/>
        <v>333.3074662718999</v>
      </c>
      <c r="F54" s="18">
        <f t="shared" si="4"/>
        <v>333.3074662718999</v>
      </c>
      <c r="G54" s="18">
        <f t="shared" si="4"/>
        <v>291.64403298791234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Prices!K46</f>
        <v>91.679089627586848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330.76524002704951</v>
      </c>
      <c r="C55" s="18">
        <f t="shared" si="2"/>
        <v>330.76524002704951</v>
      </c>
      <c r="D55" s="35">
        <f t="shared" si="3"/>
        <v>289.41958502366833</v>
      </c>
      <c r="E55" s="18">
        <f t="shared" si="4"/>
        <v>278.13985395430763</v>
      </c>
      <c r="F55" s="18">
        <f t="shared" si="4"/>
        <v>278.13985395430763</v>
      </c>
      <c r="G55" s="18">
        <f t="shared" si="4"/>
        <v>243.37237221001917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Prices!K47</f>
        <v>93.849065122800951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276.01840601805083</v>
      </c>
      <c r="C56" s="18">
        <f t="shared" si="2"/>
        <v>276.01840601805083</v>
      </c>
      <c r="D56" s="35">
        <f t="shared" si="3"/>
        <v>241.51610526579447</v>
      </c>
      <c r="E56" s="18">
        <f t="shared" si="4"/>
        <v>232.10334656774438</v>
      </c>
      <c r="F56" s="18">
        <f t="shared" si="4"/>
        <v>232.10334656774438</v>
      </c>
      <c r="G56" s="18">
        <f t="shared" si="4"/>
        <v>203.09042824677633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Prices!K48</f>
        <v>96.061290127919364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230.21887691277229</v>
      </c>
      <c r="C57" s="18">
        <f t="shared" si="2"/>
        <v>230.21887691277229</v>
      </c>
      <c r="D57" s="35">
        <f t="shared" si="3"/>
        <v>201.44151729867576</v>
      </c>
      <c r="E57" s="18">
        <f t="shared" si="4"/>
        <v>193.59061066031808</v>
      </c>
      <c r="F57" s="18">
        <f t="shared" si="4"/>
        <v>193.59061066031808</v>
      </c>
      <c r="G57" s="18">
        <f t="shared" si="4"/>
        <v>169.39178432777834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Prices!K49</f>
        <v>98.316109633140115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192.11404268336256</v>
      </c>
      <c r="C58" s="18">
        <f t="shared" si="2"/>
        <v>192.11404268336256</v>
      </c>
      <c r="D58" s="35">
        <f t="shared" si="3"/>
        <v>168.09978734794223</v>
      </c>
      <c r="E58" s="18">
        <f t="shared" si="4"/>
        <v>161.54832886960031</v>
      </c>
      <c r="F58" s="18">
        <f t="shared" si="4"/>
        <v>161.54832886960031</v>
      </c>
      <c r="G58" s="18">
        <f t="shared" si="4"/>
        <v>141.35478776090025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Prices!K50</f>
        <v>100.37387552846532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160.31615604713801</v>
      </c>
      <c r="C59" s="18">
        <f t="shared" si="2"/>
        <v>160.31615604713801</v>
      </c>
      <c r="D59" s="35">
        <f t="shared" si="3"/>
        <v>140.27663654124575</v>
      </c>
      <c r="E59" s="18">
        <f t="shared" si="4"/>
        <v>134.80954717557512</v>
      </c>
      <c r="F59" s="18">
        <f t="shared" si="4"/>
        <v>134.80954717557512</v>
      </c>
      <c r="G59" s="18">
        <f t="shared" si="4"/>
        <v>117.95835377862821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Prices!K51</f>
        <v>102.23549674169699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133.78131827713642</v>
      </c>
      <c r="C60" s="18">
        <f t="shared" si="2"/>
        <v>133.78131827713642</v>
      </c>
      <c r="D60" s="35">
        <f t="shared" si="3"/>
        <v>117.05865349249437</v>
      </c>
      <c r="E60" s="18">
        <f t="shared" si="4"/>
        <v>112.4964531471762</v>
      </c>
      <c r="F60" s="18">
        <f t="shared" si="4"/>
        <v>112.4964531471762</v>
      </c>
      <c r="G60" s="18">
        <f t="shared" si="4"/>
        <v>98.434396503779183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Prices!K52</f>
        <v>104.17535037919332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111.58308349791105</v>
      </c>
      <c r="C61" s="18">
        <f t="shared" si="2"/>
        <v>111.58308349791105</v>
      </c>
      <c r="D61" s="35">
        <f t="shared" si="3"/>
        <v>97.635198060672167</v>
      </c>
      <c r="E61" s="18">
        <f t="shared" si="4"/>
        <v>93.830000230200227</v>
      </c>
      <c r="F61" s="18">
        <f t="shared" si="4"/>
        <v>93.830000230200227</v>
      </c>
      <c r="G61" s="18">
        <f t="shared" si="4"/>
        <v>82.101250201425188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Prices!K53</f>
        <v>106.14400108943958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93.114333426190086</v>
      </c>
      <c r="C62" s="18">
        <f t="shared" si="2"/>
        <v>93.114333426190086</v>
      </c>
      <c r="D62" s="35">
        <f t="shared" si="3"/>
        <v>81.475041747916322</v>
      </c>
      <c r="E62" s="18">
        <f t="shared" si="4"/>
        <v>78.299663828325023</v>
      </c>
      <c r="F62" s="18">
        <f t="shared" si="4"/>
        <v>78.299663828325023</v>
      </c>
      <c r="G62" s="18">
        <f t="shared" si="4"/>
        <v>68.512205849784394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Prices!K54</f>
        <v>108.16702481389075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77.702451102868267</v>
      </c>
      <c r="C63" s="18">
        <f t="shared" si="2"/>
        <v>77.702451102868267</v>
      </c>
      <c r="D63" s="35">
        <f t="shared" si="3"/>
        <v>67.989644715009732</v>
      </c>
      <c r="E63" s="18">
        <f t="shared" si="4"/>
        <v>65.339841634737965</v>
      </c>
      <c r="F63" s="18">
        <f t="shared" si="4"/>
        <v>65.339841634737965</v>
      </c>
      <c r="G63" s="18">
        <f t="shared" si="4"/>
        <v>57.172361430395725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Prices!K55</f>
        <v>110.19500901283094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14</v>
      </c>
      <c r="C70" s="32">
        <f>D70</f>
        <v>327.20528851050506</v>
      </c>
      <c r="D70" s="39">
        <f>IF(B50=0,0,IF(E$6=1,(E$4)/(E$5/365)*LN((E$4)/B50)/1000,(E$4)^E$6*((E$4)^(1-E$6)-B50^(1-E$6))/((1-E$6)*E$5/365)/1000))</f>
        <v>327.20528851050506</v>
      </c>
      <c r="E70" s="15">
        <f t="shared" ref="E70:E84" si="9">C70*E$11</f>
        <v>327.20528851050506</v>
      </c>
      <c r="F70" s="39">
        <f t="shared" ref="F70:F84" si="10">D70*E$11</f>
        <v>327.20528851050506</v>
      </c>
      <c r="G70" s="15">
        <f t="shared" ref="G70:G84" si="11">IF(E70=0,0,(H92-I92)/H92*E70)+C70*$K$26</f>
        <v>286.30462744669194</v>
      </c>
      <c r="H70" s="15">
        <f>G70</f>
        <v>286.30462744669194</v>
      </c>
      <c r="I70" s="15">
        <f t="shared" ref="I70:N84" si="12">C70*$G$8/1000</f>
        <v>275.14629757330727</v>
      </c>
      <c r="J70" s="15">
        <f t="shared" si="12"/>
        <v>275.14629757330727</v>
      </c>
      <c r="K70" s="15">
        <f t="shared" si="12"/>
        <v>275.14629757330727</v>
      </c>
      <c r="L70" s="15">
        <f t="shared" si="12"/>
        <v>275.14629757330727</v>
      </c>
      <c r="M70" s="15">
        <f t="shared" si="12"/>
        <v>240.75301037664386</v>
      </c>
      <c r="N70" s="15">
        <f t="shared" si="12"/>
        <v>240.75301037664386</v>
      </c>
    </row>
    <row r="71" spans="1:14">
      <c r="A71" s="38">
        <f t="shared" si="8"/>
        <v>43101</v>
      </c>
      <c r="B71" s="15">
        <f t="shared" ref="B71:B83" si="13">IF(B51=0,0,B70)</f>
        <v>14</v>
      </c>
      <c r="C71" s="15">
        <f t="shared" ref="C71:C84" si="14">D71-D70</f>
        <v>273.04768230168418</v>
      </c>
      <c r="D71" s="39">
        <f t="shared" ref="D71:D83" si="15">IF(B51=0,D70,IF(E$6=1,(E$4)/(E$5/365)*LN((E$4)/B51)/1000,(E$4)^E$6*((E$4)^(1-E$6)-B51^(1-E$6))/((1-E$6)*E$5/365)/1000))</f>
        <v>600.25297081218923</v>
      </c>
      <c r="E71" s="15">
        <f t="shared" si="9"/>
        <v>273.04768230168418</v>
      </c>
      <c r="F71" s="39">
        <f t="shared" si="10"/>
        <v>600.25297081218923</v>
      </c>
      <c r="G71" s="15">
        <f t="shared" si="11"/>
        <v>238.91672201397361</v>
      </c>
      <c r="H71" s="15">
        <f t="shared" ref="H71:H84" si="16">G71+H70</f>
        <v>525.22134946066558</v>
      </c>
      <c r="I71" s="15">
        <f t="shared" si="12"/>
        <v>229.60527071025331</v>
      </c>
      <c r="J71" s="15">
        <f t="shared" si="12"/>
        <v>504.75156828356057</v>
      </c>
      <c r="K71" s="15">
        <f t="shared" si="12"/>
        <v>229.60527071025331</v>
      </c>
      <c r="L71" s="15">
        <f t="shared" si="12"/>
        <v>504.75156828356057</v>
      </c>
      <c r="M71" s="15">
        <f t="shared" si="12"/>
        <v>200.90461187147159</v>
      </c>
      <c r="N71" s="15">
        <f t="shared" si="12"/>
        <v>441.6576222481155</v>
      </c>
    </row>
    <row r="72" spans="1:14">
      <c r="A72" s="38">
        <f t="shared" si="8"/>
        <v>43466</v>
      </c>
      <c r="B72" s="15">
        <f t="shared" si="13"/>
        <v>14</v>
      </c>
      <c r="C72" s="15">
        <f t="shared" si="14"/>
        <v>227.85400917481707</v>
      </c>
      <c r="D72" s="39">
        <f t="shared" si="15"/>
        <v>828.1069799870063</v>
      </c>
      <c r="E72" s="15">
        <f t="shared" si="9"/>
        <v>227.85400917481707</v>
      </c>
      <c r="F72" s="39">
        <f t="shared" si="10"/>
        <v>828.1069799870063</v>
      </c>
      <c r="G72" s="15">
        <f t="shared" si="11"/>
        <v>199.37225802796496</v>
      </c>
      <c r="H72" s="15">
        <f t="shared" si="16"/>
        <v>724.5936074886306</v>
      </c>
      <c r="I72" s="15">
        <f t="shared" si="12"/>
        <v>191.60199792942069</v>
      </c>
      <c r="J72" s="15">
        <f t="shared" si="12"/>
        <v>696.35356621298126</v>
      </c>
      <c r="K72" s="15">
        <f t="shared" si="12"/>
        <v>191.60199792942069</v>
      </c>
      <c r="L72" s="15">
        <f t="shared" si="12"/>
        <v>696.35356621298126</v>
      </c>
      <c r="M72" s="15">
        <f t="shared" si="12"/>
        <v>167.65174818824312</v>
      </c>
      <c r="N72" s="15">
        <f t="shared" si="12"/>
        <v>609.30937043635856</v>
      </c>
    </row>
    <row r="73" spans="1:14">
      <c r="A73" s="38">
        <f t="shared" si="8"/>
        <v>43831</v>
      </c>
      <c r="B73" s="15">
        <f t="shared" si="13"/>
        <v>14</v>
      </c>
      <c r="C73" s="15">
        <f t="shared" si="14"/>
        <v>190.61570433901591</v>
      </c>
      <c r="D73" s="39">
        <f t="shared" si="15"/>
        <v>1018.7226843260222</v>
      </c>
      <c r="E73" s="15">
        <f t="shared" si="9"/>
        <v>190.61570433901591</v>
      </c>
      <c r="F73" s="39">
        <f t="shared" si="10"/>
        <v>1018.7226843260222</v>
      </c>
      <c r="G73" s="15">
        <f t="shared" si="11"/>
        <v>166.78874129663893</v>
      </c>
      <c r="H73" s="15">
        <f t="shared" si="16"/>
        <v>891.38234878526953</v>
      </c>
      <c r="I73" s="15">
        <f t="shared" si="12"/>
        <v>160.28837903860648</v>
      </c>
      <c r="J73" s="15">
        <f t="shared" si="12"/>
        <v>856.64194525158769</v>
      </c>
      <c r="K73" s="15">
        <f t="shared" si="12"/>
        <v>160.28837903860648</v>
      </c>
      <c r="L73" s="15">
        <f t="shared" si="12"/>
        <v>856.64194525158769</v>
      </c>
      <c r="M73" s="15">
        <f t="shared" si="12"/>
        <v>140.25233165878066</v>
      </c>
      <c r="N73" s="15">
        <f t="shared" si="12"/>
        <v>749.56170209513925</v>
      </c>
    </row>
    <row r="74" spans="1:14">
      <c r="A74" s="38">
        <f t="shared" si="8"/>
        <v>44197</v>
      </c>
      <c r="B74" s="15">
        <f t="shared" si="13"/>
        <v>14</v>
      </c>
      <c r="C74" s="15">
        <f t="shared" si="14"/>
        <v>158.59070949537852</v>
      </c>
      <c r="D74" s="39">
        <f t="shared" si="15"/>
        <v>1177.3133938214007</v>
      </c>
      <c r="E74" s="15">
        <f t="shared" si="9"/>
        <v>158.59070949537852</v>
      </c>
      <c r="F74" s="39">
        <f t="shared" si="10"/>
        <v>1177.3133938214007</v>
      </c>
      <c r="G74" s="15">
        <f t="shared" si="11"/>
        <v>138.76687080845622</v>
      </c>
      <c r="H74" s="15">
        <f t="shared" si="16"/>
        <v>1030.1492195937258</v>
      </c>
      <c r="I74" s="15">
        <f t="shared" si="12"/>
        <v>133.35862248991859</v>
      </c>
      <c r="J74" s="15">
        <f t="shared" si="12"/>
        <v>990.0005677415063</v>
      </c>
      <c r="K74" s="15">
        <f t="shared" si="12"/>
        <v>133.35862248991859</v>
      </c>
      <c r="L74" s="15">
        <f t="shared" si="12"/>
        <v>990.0005677415063</v>
      </c>
      <c r="M74" s="15">
        <f t="shared" si="12"/>
        <v>116.68879467867878</v>
      </c>
      <c r="N74" s="15">
        <f t="shared" si="12"/>
        <v>866.25049677381821</v>
      </c>
    </row>
    <row r="75" spans="1:14">
      <c r="A75" s="38">
        <f t="shared" si="8"/>
        <v>44562</v>
      </c>
      <c r="B75" s="15">
        <f t="shared" si="13"/>
        <v>14</v>
      </c>
      <c r="C75" s="15">
        <f t="shared" si="14"/>
        <v>132.34146018670617</v>
      </c>
      <c r="D75" s="39">
        <f t="shared" si="15"/>
        <v>1309.6548540081069</v>
      </c>
      <c r="E75" s="15">
        <f t="shared" si="9"/>
        <v>132.34146018670617</v>
      </c>
      <c r="F75" s="39">
        <f t="shared" si="10"/>
        <v>1309.6548540081069</v>
      </c>
      <c r="G75" s="15">
        <f t="shared" si="11"/>
        <v>115.7987776633679</v>
      </c>
      <c r="H75" s="15">
        <f t="shared" si="16"/>
        <v>1145.9479972570937</v>
      </c>
      <c r="I75" s="15">
        <f t="shared" si="12"/>
        <v>111.28567924918606</v>
      </c>
      <c r="J75" s="15">
        <f t="shared" si="12"/>
        <v>1101.2862469906922</v>
      </c>
      <c r="K75" s="15">
        <f t="shared" si="12"/>
        <v>111.28567924918606</v>
      </c>
      <c r="L75" s="15">
        <f t="shared" si="12"/>
        <v>1101.2862469906922</v>
      </c>
      <c r="M75" s="15">
        <f t="shared" si="12"/>
        <v>97.37496934303779</v>
      </c>
      <c r="N75" s="15">
        <f t="shared" si="12"/>
        <v>963.62546611685593</v>
      </c>
    </row>
    <row r="76" spans="1:14">
      <c r="A76" s="38">
        <f t="shared" si="8"/>
        <v>44927</v>
      </c>
      <c r="B76" s="15">
        <f t="shared" si="13"/>
        <v>14</v>
      </c>
      <c r="C76" s="15">
        <f t="shared" si="14"/>
        <v>110.43687325744622</v>
      </c>
      <c r="D76" s="39">
        <f t="shared" si="15"/>
        <v>1420.0917272655531</v>
      </c>
      <c r="E76" s="15">
        <f t="shared" si="9"/>
        <v>110.43687325744622</v>
      </c>
      <c r="F76" s="39">
        <f t="shared" si="10"/>
        <v>1420.0917272655531</v>
      </c>
      <c r="G76" s="15">
        <f t="shared" si="11"/>
        <v>96.632264100265459</v>
      </c>
      <c r="H76" s="15">
        <f t="shared" si="16"/>
        <v>1242.5802613573592</v>
      </c>
      <c r="I76" s="15">
        <f t="shared" si="12"/>
        <v>92.86615424427454</v>
      </c>
      <c r="J76" s="15">
        <f t="shared" si="12"/>
        <v>1194.1524012349669</v>
      </c>
      <c r="K76" s="15">
        <f t="shared" si="12"/>
        <v>92.86615424427454</v>
      </c>
      <c r="L76" s="15">
        <f t="shared" si="12"/>
        <v>1194.1524012349669</v>
      </c>
      <c r="M76" s="15">
        <f t="shared" si="12"/>
        <v>81.257884963740224</v>
      </c>
      <c r="N76" s="15">
        <f t="shared" si="12"/>
        <v>1044.8833510805962</v>
      </c>
    </row>
    <row r="77" spans="1:14">
      <c r="A77" s="38">
        <f t="shared" si="8"/>
        <v>45292</v>
      </c>
      <c r="B77" s="15">
        <f t="shared" si="13"/>
        <v>14</v>
      </c>
      <c r="C77" s="15">
        <f t="shared" si="14"/>
        <v>92.388114903941187</v>
      </c>
      <c r="D77" s="39">
        <f t="shared" si="15"/>
        <v>1512.4798421694943</v>
      </c>
      <c r="E77" s="15">
        <f t="shared" si="9"/>
        <v>92.388114903941187</v>
      </c>
      <c r="F77" s="39">
        <f t="shared" si="10"/>
        <v>1512.4798421694943</v>
      </c>
      <c r="G77" s="15">
        <f t="shared" si="11"/>
        <v>80.839600540948538</v>
      </c>
      <c r="H77" s="15">
        <f t="shared" si="16"/>
        <v>1323.4198618983078</v>
      </c>
      <c r="I77" s="15">
        <f t="shared" si="12"/>
        <v>77.688988070193048</v>
      </c>
      <c r="J77" s="15">
        <f t="shared" si="12"/>
        <v>1271.84138930516</v>
      </c>
      <c r="K77" s="15">
        <f t="shared" si="12"/>
        <v>77.688988070193048</v>
      </c>
      <c r="L77" s="15">
        <f t="shared" si="12"/>
        <v>1271.84138930516</v>
      </c>
      <c r="M77" s="15">
        <f t="shared" si="12"/>
        <v>67.977864561418912</v>
      </c>
      <c r="N77" s="15">
        <f t="shared" si="12"/>
        <v>1112.8612156420152</v>
      </c>
    </row>
    <row r="78" spans="1:14">
      <c r="A78" s="38">
        <f t="shared" si="8"/>
        <v>45658</v>
      </c>
      <c r="B78" s="15">
        <f t="shared" si="13"/>
        <v>14</v>
      </c>
      <c r="C78" s="15">
        <f t="shared" si="14"/>
        <v>76.866157184498206</v>
      </c>
      <c r="D78" s="39">
        <f t="shared" si="15"/>
        <v>1589.3459993539925</v>
      </c>
      <c r="E78" s="15">
        <f t="shared" si="9"/>
        <v>76.866157184498206</v>
      </c>
      <c r="F78" s="39">
        <f t="shared" si="10"/>
        <v>1589.3459993539925</v>
      </c>
      <c r="G78" s="15">
        <f t="shared" si="11"/>
        <v>67.257887536435931</v>
      </c>
      <c r="H78" s="15">
        <f t="shared" si="16"/>
        <v>1390.6777494347436</v>
      </c>
      <c r="I78" s="15">
        <f t="shared" si="12"/>
        <v>64.636603687790156</v>
      </c>
      <c r="J78" s="15">
        <f t="shared" si="12"/>
        <v>1336.4779929929502</v>
      </c>
      <c r="K78" s="15">
        <f t="shared" si="12"/>
        <v>64.636603687790156</v>
      </c>
      <c r="L78" s="15">
        <f t="shared" si="12"/>
        <v>1336.4779929929502</v>
      </c>
      <c r="M78" s="15">
        <f t="shared" si="12"/>
        <v>56.557028226816378</v>
      </c>
      <c r="N78" s="15">
        <f t="shared" si="12"/>
        <v>1169.4182438688315</v>
      </c>
    </row>
    <row r="79" spans="1:14">
      <c r="A79" s="38">
        <f t="shared" si="8"/>
        <v>46023</v>
      </c>
      <c r="B79" s="15">
        <f t="shared" si="13"/>
        <v>14</v>
      </c>
      <c r="C79" s="15">
        <f t="shared" si="14"/>
        <v>64.143602819519401</v>
      </c>
      <c r="D79" s="39">
        <f t="shared" si="15"/>
        <v>1653.4896021735119</v>
      </c>
      <c r="E79" s="15">
        <f t="shared" si="9"/>
        <v>64.143602819519401</v>
      </c>
      <c r="F79" s="39">
        <f t="shared" si="10"/>
        <v>1653.4896021735119</v>
      </c>
      <c r="G79" s="15">
        <f t="shared" si="11"/>
        <v>56.125652467079476</v>
      </c>
      <c r="H79" s="15">
        <f t="shared" si="16"/>
        <v>1446.8034019018232</v>
      </c>
      <c r="I79" s="15">
        <f t="shared" si="12"/>
        <v>53.938232200170837</v>
      </c>
      <c r="J79" s="15">
        <f t="shared" si="12"/>
        <v>1390.4162251931209</v>
      </c>
      <c r="K79" s="15">
        <f t="shared" si="12"/>
        <v>53.938232200170837</v>
      </c>
      <c r="L79" s="15">
        <f t="shared" si="12"/>
        <v>1390.4162251931209</v>
      </c>
      <c r="M79" s="15">
        <f t="shared" si="12"/>
        <v>47.195953175149484</v>
      </c>
      <c r="N79" s="15">
        <f t="shared" si="12"/>
        <v>1216.6141970439812</v>
      </c>
    </row>
    <row r="80" spans="1:14">
      <c r="A80" s="38">
        <f t="shared" si="8"/>
        <v>46388</v>
      </c>
      <c r="B80" s="15">
        <f t="shared" si="13"/>
        <v>14</v>
      </c>
      <c r="C80" s="15">
        <f t="shared" si="14"/>
        <v>53.526830706427518</v>
      </c>
      <c r="D80" s="39">
        <f t="shared" si="15"/>
        <v>1707.0164328799394</v>
      </c>
      <c r="E80" s="15">
        <f t="shared" si="9"/>
        <v>53.526830706427518</v>
      </c>
      <c r="F80" s="39">
        <f t="shared" si="10"/>
        <v>1707.0164328799394</v>
      </c>
      <c r="G80" s="15">
        <f t="shared" si="11"/>
        <v>46.835976868124078</v>
      </c>
      <c r="H80" s="15">
        <f t="shared" si="16"/>
        <v>1493.6393787699474</v>
      </c>
      <c r="I80" s="15">
        <f t="shared" si="12"/>
        <v>45.01060895668838</v>
      </c>
      <c r="J80" s="15">
        <f t="shared" si="12"/>
        <v>1435.4268341498093</v>
      </c>
      <c r="K80" s="15">
        <f t="shared" si="12"/>
        <v>45.01060895668838</v>
      </c>
      <c r="L80" s="15">
        <f t="shared" si="12"/>
        <v>1435.4268341498093</v>
      </c>
      <c r="M80" s="15">
        <f t="shared" si="12"/>
        <v>39.384282837102333</v>
      </c>
      <c r="N80" s="15">
        <f t="shared" si="12"/>
        <v>1255.9984798810833</v>
      </c>
    </row>
    <row r="81" spans="1:18">
      <c r="A81" s="38">
        <f t="shared" si="8"/>
        <v>46753</v>
      </c>
      <c r="B81" s="15">
        <f t="shared" si="13"/>
        <v>14</v>
      </c>
      <c r="C81" s="15">
        <f t="shared" si="14"/>
        <v>44.778911607005512</v>
      </c>
      <c r="D81" s="39">
        <f t="shared" si="15"/>
        <v>1751.7953444869449</v>
      </c>
      <c r="E81" s="15">
        <f t="shared" si="9"/>
        <v>44.778911607005512</v>
      </c>
      <c r="F81" s="39">
        <f t="shared" si="10"/>
        <v>1751.7953444869449</v>
      </c>
      <c r="G81" s="15">
        <f t="shared" si="11"/>
        <v>39.181547656129823</v>
      </c>
      <c r="H81" s="15">
        <f t="shared" si="16"/>
        <v>1532.8209264260772</v>
      </c>
      <c r="I81" s="15">
        <f t="shared" si="12"/>
        <v>37.654500616772268</v>
      </c>
      <c r="J81" s="15">
        <f t="shared" si="12"/>
        <v>1473.0813347665817</v>
      </c>
      <c r="K81" s="15">
        <f t="shared" si="12"/>
        <v>37.654500616772268</v>
      </c>
      <c r="L81" s="15">
        <f t="shared" si="12"/>
        <v>1473.0813347665817</v>
      </c>
      <c r="M81" s="15">
        <f t="shared" si="12"/>
        <v>32.947688039675732</v>
      </c>
      <c r="N81" s="15">
        <f t="shared" si="12"/>
        <v>1288.9461679207591</v>
      </c>
    </row>
    <row r="82" spans="1:18">
      <c r="A82" s="38">
        <f t="shared" si="8"/>
        <v>47119</v>
      </c>
      <c r="B82" s="15">
        <f t="shared" si="13"/>
        <v>14</v>
      </c>
      <c r="C82" s="15">
        <f t="shared" si="14"/>
        <v>37.255688804924148</v>
      </c>
      <c r="D82" s="39">
        <f t="shared" si="15"/>
        <v>1789.0510332918691</v>
      </c>
      <c r="E82" s="15">
        <f t="shared" si="9"/>
        <v>37.255688804924148</v>
      </c>
      <c r="F82" s="39">
        <f t="shared" si="10"/>
        <v>1789.0510332918691</v>
      </c>
      <c r="G82" s="15">
        <f t="shared" si="11"/>
        <v>32.598727704308629</v>
      </c>
      <c r="H82" s="15">
        <f t="shared" si="16"/>
        <v>1565.4196541303859</v>
      </c>
      <c r="I82" s="15">
        <f t="shared" si="12"/>
        <v>31.328237037003408</v>
      </c>
      <c r="J82" s="15">
        <f t="shared" si="12"/>
        <v>1504.4095718035849</v>
      </c>
      <c r="K82" s="15">
        <f t="shared" si="12"/>
        <v>31.328237037003408</v>
      </c>
      <c r="L82" s="15">
        <f t="shared" si="12"/>
        <v>1504.4095718035849</v>
      </c>
      <c r="M82" s="15">
        <f t="shared" si="12"/>
        <v>27.412207407377984</v>
      </c>
      <c r="N82" s="15">
        <f t="shared" si="12"/>
        <v>1316.3583753281373</v>
      </c>
    </row>
    <row r="83" spans="1:18">
      <c r="A83" s="38">
        <f t="shared" si="8"/>
        <v>47484</v>
      </c>
      <c r="B83" s="15">
        <f t="shared" si="13"/>
        <v>14</v>
      </c>
      <c r="C83" s="15">
        <f t="shared" si="14"/>
        <v>31.089288095081429</v>
      </c>
      <c r="D83" s="39">
        <f t="shared" si="15"/>
        <v>1820.1403213869505</v>
      </c>
      <c r="E83" s="15">
        <f t="shared" si="9"/>
        <v>31.089288095081429</v>
      </c>
      <c r="F83" s="39">
        <f t="shared" si="10"/>
        <v>1820.1403213869505</v>
      </c>
      <c r="G83" s="15">
        <f t="shared" si="11"/>
        <v>27.20312708319625</v>
      </c>
      <c r="H83" s="15">
        <f t="shared" si="16"/>
        <v>1592.6227812135821</v>
      </c>
      <c r="I83" s="15">
        <f t="shared" si="12"/>
        <v>26.14292254410466</v>
      </c>
      <c r="J83" s="15">
        <f t="shared" si="12"/>
        <v>1530.5524943476896</v>
      </c>
      <c r="K83" s="15">
        <f t="shared" si="12"/>
        <v>26.14292254410466</v>
      </c>
      <c r="L83" s="15">
        <f t="shared" si="12"/>
        <v>1530.5524943476896</v>
      </c>
      <c r="M83" s="15">
        <f t="shared" si="12"/>
        <v>22.875057226091581</v>
      </c>
      <c r="N83" s="15">
        <f t="shared" si="12"/>
        <v>1339.2334325542288</v>
      </c>
    </row>
    <row r="84" spans="1:18">
      <c r="A84" s="38">
        <f t="shared" si="8"/>
        <v>47849</v>
      </c>
      <c r="B84" s="15">
        <f>IF(B63=0,0,B83)</f>
        <v>14</v>
      </c>
      <c r="C84" s="15">
        <f t="shared" si="14"/>
        <v>98.413320881951677</v>
      </c>
      <c r="D84" s="39">
        <f>IF(B63=0,D83,IF(E$6=1,(E$4)/(E$5/365)*LN((E$4)/E7)/1000,(E$4)^E$6*((E$4)^(1-E$6)-E7^(1-E$6))/((1-E$6)*E$5/365)/1000))</f>
        <v>1918.5536422689022</v>
      </c>
      <c r="E84" s="15">
        <f t="shared" si="9"/>
        <v>98.413320881951677</v>
      </c>
      <c r="F84" s="39">
        <f t="shared" si="10"/>
        <v>1918.5536422689022</v>
      </c>
      <c r="G84" s="18">
        <f t="shared" si="11"/>
        <v>86.111655771707717</v>
      </c>
      <c r="H84" s="15">
        <f t="shared" si="16"/>
        <v>1678.7344369852899</v>
      </c>
      <c r="I84" s="15">
        <f t="shared" si="12"/>
        <v>82.755572184749369</v>
      </c>
      <c r="J84" s="15">
        <f t="shared" si="12"/>
        <v>1613.3080665324392</v>
      </c>
      <c r="K84" s="15">
        <f t="shared" si="12"/>
        <v>82.755572184749369</v>
      </c>
      <c r="L84" s="15">
        <f t="shared" si="12"/>
        <v>1613.3080665324392</v>
      </c>
      <c r="M84" s="15">
        <f t="shared" si="12"/>
        <v>72.411125661655703</v>
      </c>
      <c r="N84" s="15">
        <f t="shared" si="12"/>
        <v>1411.6445582158844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10350</v>
      </c>
      <c r="N91" s="41">
        <f t="shared" ref="N91:N106" si="17">L91-M91</f>
        <v>-10350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25602.181446190345</v>
      </c>
      <c r="I92" s="41">
        <f t="shared" ref="I92:I106" si="21">E70*K49*E$26+E70*(K49-E$14)*G$26+K70*L49*E$26+K70*(L49-E$15)*G$26+D92*M49*(E$26+G$26)/1000</f>
        <v>3200.2726807737931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3217.6423080840405</v>
      </c>
      <c r="L92" s="41">
        <f t="shared" ref="L92:L106" si="24">H92+J92-I92-K92</f>
        <v>19184.266457332513</v>
      </c>
      <c r="M92" s="41">
        <f t="shared" ref="M92:M104" si="25">IF(B71&lt;B70,E$24*(1+E$21/365)^(A49-A$49),0)</f>
        <v>0</v>
      </c>
      <c r="N92" s="41">
        <f t="shared" si="17"/>
        <v>19184.266457332513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22560.045095506983</v>
      </c>
      <c r="I93" s="41">
        <f t="shared" si="21"/>
        <v>2820.0056369383728</v>
      </c>
      <c r="J93" s="41">
        <f t="shared" si="22"/>
        <v>0</v>
      </c>
      <c r="K93" s="41">
        <f t="shared" si="23"/>
        <v>2840.0690875817431</v>
      </c>
      <c r="L93" s="41">
        <f t="shared" si="24"/>
        <v>16899.970370986866</v>
      </c>
      <c r="M93" s="41">
        <f t="shared" si="25"/>
        <v>0</v>
      </c>
      <c r="N93" s="41">
        <f t="shared" si="17"/>
        <v>16899.970370986866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19575.484981135447</v>
      </c>
      <c r="I94" s="41">
        <f t="shared" si="21"/>
        <v>2446.9356226419309</v>
      </c>
      <c r="J94" s="41">
        <f t="shared" si="22"/>
        <v>0</v>
      </c>
      <c r="K94" s="41">
        <f t="shared" si="23"/>
        <v>2520.7144891638372</v>
      </c>
      <c r="L94" s="41">
        <f t="shared" si="24"/>
        <v>14607.834869329679</v>
      </c>
      <c r="M94" s="41">
        <f t="shared" si="25"/>
        <v>0</v>
      </c>
      <c r="N94" s="41">
        <f t="shared" si="17"/>
        <v>14607.834869329679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17030.801742610292</v>
      </c>
      <c r="I95" s="41">
        <f t="shared" si="21"/>
        <v>2128.8502178262866</v>
      </c>
      <c r="J95" s="41">
        <f t="shared" si="22"/>
        <v>0</v>
      </c>
      <c r="K95" s="41">
        <f t="shared" si="23"/>
        <v>2254.9880829615868</v>
      </c>
      <c r="L95" s="41">
        <f t="shared" si="24"/>
        <v>12646.96344182242</v>
      </c>
      <c r="M95" s="41">
        <f t="shared" si="25"/>
        <v>0</v>
      </c>
      <c r="N95" s="41">
        <f t="shared" si="17"/>
        <v>12646.96344182242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14699.161532851322</v>
      </c>
      <c r="I96" s="41">
        <f t="shared" si="21"/>
        <v>1837.3951916064152</v>
      </c>
      <c r="J96" s="41">
        <f t="shared" si="22"/>
        <v>0</v>
      </c>
      <c r="K96" s="41">
        <f t="shared" si="23"/>
        <v>2022.8785156956665</v>
      </c>
      <c r="L96" s="41">
        <f t="shared" si="24"/>
        <v>10838.887825549242</v>
      </c>
      <c r="M96" s="41">
        <f t="shared" si="25"/>
        <v>0</v>
      </c>
      <c r="N96" s="41">
        <f t="shared" si="17"/>
        <v>10838.887825549242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12701.23525427296</v>
      </c>
      <c r="I97" s="41">
        <f t="shared" si="21"/>
        <v>1587.6544067841201</v>
      </c>
      <c r="J97" s="41">
        <f t="shared" si="22"/>
        <v>0</v>
      </c>
      <c r="K97" s="41">
        <f t="shared" si="23"/>
        <v>1831.4731688317147</v>
      </c>
      <c r="L97" s="41">
        <f t="shared" si="24"/>
        <v>9282.1076786571248</v>
      </c>
      <c r="M97" s="41">
        <f t="shared" si="25"/>
        <v>0</v>
      </c>
      <c r="N97" s="41">
        <f t="shared" si="17"/>
        <v>9282.1076786571248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10852.453652318167</v>
      </c>
      <c r="I98" s="41">
        <f t="shared" si="21"/>
        <v>1356.5567065397709</v>
      </c>
      <c r="J98" s="41">
        <f t="shared" si="22"/>
        <v>0</v>
      </c>
      <c r="K98" s="41">
        <f t="shared" si="23"/>
        <v>1670.7469443341556</v>
      </c>
      <c r="L98" s="41">
        <f t="shared" si="24"/>
        <v>7825.1500014442408</v>
      </c>
      <c r="M98" s="41">
        <f t="shared" si="25"/>
        <v>0</v>
      </c>
      <c r="N98" s="41">
        <f t="shared" si="17"/>
        <v>7825.1500014442408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9293.8639054273208</v>
      </c>
      <c r="I99" s="41">
        <f t="shared" si="21"/>
        <v>1161.7329881784151</v>
      </c>
      <c r="J99" s="41">
        <f t="shared" si="22"/>
        <v>0</v>
      </c>
      <c r="K99" s="41">
        <f t="shared" si="23"/>
        <v>1538.2940841946715</v>
      </c>
      <c r="L99" s="41">
        <f t="shared" si="24"/>
        <v>6593.8368330542344</v>
      </c>
      <c r="M99" s="41">
        <f t="shared" si="25"/>
        <v>0</v>
      </c>
      <c r="N99" s="41">
        <f t="shared" si="17"/>
        <v>6593.8368330542344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7911.8440677878589</v>
      </c>
      <c r="I100" s="41">
        <f t="shared" si="21"/>
        <v>988.98050847348236</v>
      </c>
      <c r="J100" s="41">
        <f t="shared" si="22"/>
        <v>0</v>
      </c>
      <c r="K100" s="41">
        <f t="shared" si="23"/>
        <v>1423.6377288328115</v>
      </c>
      <c r="L100" s="41">
        <f t="shared" si="24"/>
        <v>5499.225830481565</v>
      </c>
      <c r="M100" s="41">
        <f t="shared" si="25"/>
        <v>0</v>
      </c>
      <c r="N100" s="41">
        <f t="shared" si="17"/>
        <v>5499.225830481565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6740.4534155241145</v>
      </c>
      <c r="I101" s="41">
        <f t="shared" si="21"/>
        <v>842.55667694051431</v>
      </c>
      <c r="J101" s="41">
        <f t="shared" si="22"/>
        <v>0</v>
      </c>
      <c r="K101" s="41">
        <f t="shared" si="23"/>
        <v>1330.460242752569</v>
      </c>
      <c r="L101" s="41">
        <f t="shared" si="24"/>
        <v>4567.4364958310316</v>
      </c>
      <c r="M101" s="41">
        <f t="shared" si="25"/>
        <v>0</v>
      </c>
      <c r="N101" s="41">
        <f t="shared" si="17"/>
        <v>4567.4364958310316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5729.6267617460453</v>
      </c>
      <c r="I102" s="41">
        <f t="shared" si="21"/>
        <v>716.20334521825566</v>
      </c>
      <c r="J102" s="41">
        <f t="shared" si="22"/>
        <v>0</v>
      </c>
      <c r="K102" s="41">
        <f t="shared" si="23"/>
        <v>1253.5239250328057</v>
      </c>
      <c r="L102" s="41">
        <f t="shared" si="24"/>
        <v>3759.8994914949835</v>
      </c>
      <c r="M102" s="41">
        <f t="shared" si="25"/>
        <v>0</v>
      </c>
      <c r="N102" s="41">
        <f t="shared" si="17"/>
        <v>3759.8994914949835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4884.4899509399629</v>
      </c>
      <c r="I103" s="41">
        <f t="shared" si="21"/>
        <v>610.56124386749536</v>
      </c>
      <c r="J103" s="41">
        <f t="shared" si="22"/>
        <v>0</v>
      </c>
      <c r="K103" s="41">
        <f t="shared" si="23"/>
        <v>1191.5694583013446</v>
      </c>
      <c r="L103" s="41">
        <f t="shared" si="24"/>
        <v>3082.359248771123</v>
      </c>
      <c r="M103" s="41">
        <f t="shared" si="25"/>
        <v>0</v>
      </c>
      <c r="N103" s="41">
        <f t="shared" si="17"/>
        <v>3082.359248771123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4140.426722834909</v>
      </c>
      <c r="I104" s="41">
        <f t="shared" si="21"/>
        <v>517.55334035436363</v>
      </c>
      <c r="J104" s="41">
        <f t="shared" si="22"/>
        <v>0</v>
      </c>
      <c r="K104" s="41">
        <f t="shared" si="23"/>
        <v>1139.1242400361295</v>
      </c>
      <c r="L104" s="41">
        <f t="shared" si="24"/>
        <v>2483.7491424444161</v>
      </c>
      <c r="M104" s="41">
        <f t="shared" si="25"/>
        <v>0</v>
      </c>
      <c r="N104" s="41">
        <f t="shared" si="17"/>
        <v>2483.7491424444161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3521.1574205704287</v>
      </c>
      <c r="I105" s="41">
        <f t="shared" si="21"/>
        <v>440.14467757130359</v>
      </c>
      <c r="J105" s="41">
        <f t="shared" si="22"/>
        <v>0</v>
      </c>
      <c r="K105" s="41">
        <f t="shared" si="23"/>
        <v>1098.0811625951394</v>
      </c>
      <c r="L105" s="41">
        <f t="shared" si="24"/>
        <v>1982.9315804039859</v>
      </c>
      <c r="M105" s="41">
        <f>IF(B84&lt;B83,E$24*(1+E$21/365)^(A62-A$49),0)</f>
        <v>0</v>
      </c>
      <c r="N105" s="41">
        <f t="shared" si="17"/>
        <v>1982.9315804039859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11355.918350691745</v>
      </c>
      <c r="I106" s="41">
        <f t="shared" si="21"/>
        <v>1419.4897938364682</v>
      </c>
      <c r="J106" s="41">
        <f t="shared" si="22"/>
        <v>0</v>
      </c>
      <c r="K106" s="41">
        <f t="shared" si="23"/>
        <v>1830.8195154399687</v>
      </c>
      <c r="L106" s="41">
        <f t="shared" si="24"/>
        <v>8105.6090414153077</v>
      </c>
      <c r="M106" s="41">
        <f>IF(B85&lt;B84,E$24*(1+E$21/365)^(A63-A$49),0)</f>
        <v>1310.1038020135738</v>
      </c>
      <c r="N106" s="41">
        <f t="shared" si="17"/>
        <v>6795.5052394017339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5" workbookViewId="0">
      <selection activeCell="E29" sqref="E29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338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'Ord Oil'!I48</f>
        <v>1400</v>
      </c>
      <c r="F4" s="14" t="s">
        <v>96</v>
      </c>
      <c r="G4" s="15"/>
    </row>
    <row r="5" spans="1:17" ht="15.75">
      <c r="A5" s="14" t="s">
        <v>184</v>
      </c>
      <c r="B5" s="14"/>
      <c r="E5" s="26">
        <f>'Ord Oil'!I49</f>
        <v>0.19946991211768303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74">
        <f>'Ord Oil'!I50</f>
        <v>28.916048666078396</v>
      </c>
      <c r="F7" s="14" t="s">
        <v>96</v>
      </c>
    </row>
    <row r="8" spans="1:17" ht="14.25">
      <c r="A8" s="14" t="s">
        <v>100</v>
      </c>
      <c r="B8" s="14"/>
      <c r="E8" s="74">
        <f>G8*0.02832784*6.2897</f>
        <v>149.82585026025404</v>
      </c>
      <c r="F8" s="14" t="s">
        <v>101</v>
      </c>
      <c r="G8" s="19">
        <f>'Ord Oil'!I53</f>
        <v>840.89807602383405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'Ord Oil'!G44</f>
        <v>7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'Ord Oil'!I57</f>
        <v>50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'Ord Oil'!I56</f>
        <v>8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'Ord Oil'!I46</f>
        <v>10000</v>
      </c>
      <c r="F23" s="12" t="s">
        <v>195</v>
      </c>
      <c r="R23" s="24"/>
      <c r="U23" s="25"/>
    </row>
    <row r="24" spans="1:21">
      <c r="B24" s="12" t="s">
        <v>193</v>
      </c>
      <c r="E24" s="41">
        <f>'Ord Oil'!I15*'Ord Oil'!G44+'Ord Oil'!I16</f>
        <v>1200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156452.60979323142</v>
      </c>
      <c r="D31" s="12" t="s">
        <v>58</v>
      </c>
      <c r="E31" s="84">
        <f>C31/E$23</f>
        <v>15.645260979323142</v>
      </c>
    </row>
    <row r="32" spans="1:21">
      <c r="A32" s="26">
        <v>0.05</v>
      </c>
      <c r="B32" s="12" t="s">
        <v>128</v>
      </c>
      <c r="C32" s="29">
        <f>NPV(A32,N$91:N$106)</f>
        <v>115283.6155695195</v>
      </c>
      <c r="D32" s="12" t="s">
        <v>58</v>
      </c>
      <c r="E32" s="84">
        <f t="shared" ref="E32:E36" si="0">C32/E$23</f>
        <v>11.52836155695195</v>
      </c>
    </row>
    <row r="33" spans="1:19">
      <c r="A33" s="26">
        <v>0.1</v>
      </c>
      <c r="B33" s="12" t="s">
        <v>128</v>
      </c>
      <c r="C33" s="29">
        <f t="shared" ref="C33:C36" si="1">NPV(A33,N$91:N$106)</f>
        <v>88439.374089020275</v>
      </c>
      <c r="D33" s="12" t="s">
        <v>58</v>
      </c>
      <c r="E33" s="84">
        <f t="shared" si="0"/>
        <v>8.8439374089020273</v>
      </c>
    </row>
    <row r="34" spans="1:19">
      <c r="A34" s="26">
        <v>0.125</v>
      </c>
      <c r="B34" s="12" t="s">
        <v>128</v>
      </c>
      <c r="C34" s="29">
        <f t="shared" si="1"/>
        <v>78404.161145474311</v>
      </c>
      <c r="D34" s="12" t="s">
        <v>58</v>
      </c>
      <c r="E34" s="84">
        <f t="shared" si="0"/>
        <v>7.8404161145474314</v>
      </c>
      <c r="F34" s="14"/>
    </row>
    <row r="35" spans="1:19">
      <c r="A35" s="26">
        <v>0.15</v>
      </c>
      <c r="B35" s="12" t="s">
        <v>128</v>
      </c>
      <c r="C35" s="29">
        <f t="shared" si="1"/>
        <v>69981.058851470239</v>
      </c>
      <c r="D35" s="12" t="s">
        <v>58</v>
      </c>
      <c r="E35" s="84">
        <f t="shared" si="0"/>
        <v>6.9981058851470239</v>
      </c>
      <c r="F35" s="14"/>
    </row>
    <row r="36" spans="1:19">
      <c r="A36" s="26">
        <v>0.2</v>
      </c>
      <c r="B36" s="12" t="s">
        <v>128</v>
      </c>
      <c r="C36" s="29">
        <f t="shared" si="1"/>
        <v>56726.320630649279</v>
      </c>
      <c r="D36" s="12" t="s">
        <v>58</v>
      </c>
      <c r="E36" s="84">
        <f t="shared" si="0"/>
        <v>5.6726320630649276</v>
      </c>
      <c r="F36" s="14"/>
    </row>
    <row r="37" spans="1:19">
      <c r="A37" s="12" t="s">
        <v>197</v>
      </c>
      <c r="C37" s="25">
        <f>IRR(N91:N106, 1)</f>
        <v>2.6027948477556797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75">
        <f>D84</f>
        <v>2508.8778398901031</v>
      </c>
      <c r="G40" s="14" t="s">
        <v>76</v>
      </c>
      <c r="H40" s="75">
        <f>J84</f>
        <v>2109.7105485424204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2860.4962646471731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343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1400</v>
      </c>
      <c r="C49" s="18">
        <f t="shared" ref="C49:C63" si="2">B49*E$11</f>
        <v>1400</v>
      </c>
      <c r="D49" s="35">
        <f t="shared" ref="D49:D63" si="3">C49*(1-$E$26-G$26*(K49-E$14)/K49)+B49*$K$26</f>
        <v>1225</v>
      </c>
      <c r="E49" s="18">
        <f t="shared" ref="E49:G63" si="4">B49*$G$8/1000</f>
        <v>1177.2573064333678</v>
      </c>
      <c r="F49" s="18">
        <f t="shared" si="4"/>
        <v>1177.2573064333678</v>
      </c>
      <c r="G49" s="18">
        <f t="shared" si="4"/>
        <v>1030.1001431291968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Prices!K41</f>
        <v>74.148255004335638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1146.830814329576</v>
      </c>
      <c r="C50" s="18">
        <f t="shared" si="2"/>
        <v>1146.830814329576</v>
      </c>
      <c r="D50" s="35">
        <f t="shared" si="3"/>
        <v>1003.476962538379</v>
      </c>
      <c r="E50" s="18">
        <f t="shared" si="4"/>
        <v>964.36782529458731</v>
      </c>
      <c r="F50" s="18">
        <f t="shared" si="4"/>
        <v>964.36782529458731</v>
      </c>
      <c r="G50" s="18">
        <f t="shared" si="4"/>
        <v>843.82184713276399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Prices!K42</f>
        <v>78.840702357046183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939.44351192559884</v>
      </c>
      <c r="C51" s="18">
        <f t="shared" si="2"/>
        <v>939.44351192559884</v>
      </c>
      <c r="D51" s="35">
        <f t="shared" si="3"/>
        <v>822.01307293489901</v>
      </c>
      <c r="E51" s="18">
        <f t="shared" si="4"/>
        <v>789.97624171130985</v>
      </c>
      <c r="F51" s="18">
        <f t="shared" si="4"/>
        <v>789.97624171130985</v>
      </c>
      <c r="G51" s="18">
        <f t="shared" si="4"/>
        <v>691.22921149739614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Prices!K43</f>
        <v>82.088638396292723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769.55911985590797</v>
      </c>
      <c r="C52" s="18">
        <f t="shared" si="2"/>
        <v>769.55911985590797</v>
      </c>
      <c r="D52" s="35">
        <f t="shared" si="3"/>
        <v>673.3642298739195</v>
      </c>
      <c r="E52" s="18">
        <f t="shared" si="4"/>
        <v>647.12078327342806</v>
      </c>
      <c r="F52" s="18">
        <f t="shared" si="4"/>
        <v>647.12078327342806</v>
      </c>
      <c r="G52" s="18">
        <f t="shared" si="4"/>
        <v>566.23068536424967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Prices!K44</f>
        <v>85.303426079002165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630.05138164257289</v>
      </c>
      <c r="C53" s="18">
        <f t="shared" si="2"/>
        <v>630.05138164257289</v>
      </c>
      <c r="D53" s="35">
        <f t="shared" si="3"/>
        <v>551.29495893725129</v>
      </c>
      <c r="E53" s="18">
        <f t="shared" si="4"/>
        <v>529.80899461939794</v>
      </c>
      <c r="F53" s="18">
        <f t="shared" si="4"/>
        <v>529.80899461939794</v>
      </c>
      <c r="G53" s="18">
        <f t="shared" si="4"/>
        <v>463.58287029197322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Prices!K45</f>
        <v>88.516798196292726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516.11595648473315</v>
      </c>
      <c r="C54" s="18">
        <f t="shared" si="2"/>
        <v>516.11595648473315</v>
      </c>
      <c r="D54" s="35">
        <f t="shared" si="3"/>
        <v>451.60146192414152</v>
      </c>
      <c r="E54" s="18">
        <f t="shared" si="4"/>
        <v>434.00091481321294</v>
      </c>
      <c r="F54" s="18">
        <f t="shared" si="4"/>
        <v>434.00091481321294</v>
      </c>
      <c r="G54" s="18">
        <f t="shared" si="4"/>
        <v>379.75080046156137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Prices!K46</f>
        <v>91.679089627586848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422.78405904562459</v>
      </c>
      <c r="C55" s="18">
        <f t="shared" si="2"/>
        <v>422.78405904562459</v>
      </c>
      <c r="D55" s="35">
        <f t="shared" si="3"/>
        <v>369.93605166492154</v>
      </c>
      <c r="E55" s="18">
        <f t="shared" si="4"/>
        <v>355.51830182501277</v>
      </c>
      <c r="F55" s="18">
        <f t="shared" si="4"/>
        <v>355.51830182501277</v>
      </c>
      <c r="G55" s="18">
        <f t="shared" si="4"/>
        <v>311.07851409688624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Prices!K47</f>
        <v>93.849065122800951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346.32984765775518</v>
      </c>
      <c r="C56" s="18">
        <f t="shared" si="2"/>
        <v>346.32984765775518</v>
      </c>
      <c r="D56" s="35">
        <f t="shared" si="3"/>
        <v>303.03861670053578</v>
      </c>
      <c r="E56" s="18">
        <f t="shared" si="4"/>
        <v>291.22810256503391</v>
      </c>
      <c r="F56" s="18">
        <f t="shared" si="4"/>
        <v>291.22810256503391</v>
      </c>
      <c r="G56" s="18">
        <f t="shared" si="4"/>
        <v>254.82458974440465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Prices!K48</f>
        <v>96.061290127919364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283.54624536408215</v>
      </c>
      <c r="C57" s="18">
        <f t="shared" si="2"/>
        <v>283.54624536408215</v>
      </c>
      <c r="D57" s="35">
        <f t="shared" si="3"/>
        <v>248.10296469357189</v>
      </c>
      <c r="E57" s="18">
        <f t="shared" si="4"/>
        <v>238.43349219043867</v>
      </c>
      <c r="F57" s="18">
        <f t="shared" si="4"/>
        <v>238.43349219043867</v>
      </c>
      <c r="G57" s="18">
        <f t="shared" si="4"/>
        <v>208.62930566663383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Prices!K49</f>
        <v>98.316109633140115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232.27112247927442</v>
      </c>
      <c r="C58" s="18">
        <f t="shared" si="2"/>
        <v>232.27112247927442</v>
      </c>
      <c r="D58" s="35">
        <f t="shared" si="3"/>
        <v>203.23723216936511</v>
      </c>
      <c r="E58" s="18">
        <f t="shared" si="4"/>
        <v>195.31634000871816</v>
      </c>
      <c r="F58" s="18">
        <f t="shared" si="4"/>
        <v>195.31634000871816</v>
      </c>
      <c r="G58" s="18">
        <f t="shared" si="4"/>
        <v>170.9017975076284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Prices!K50</f>
        <v>100.37387552846532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190.26834324153637</v>
      </c>
      <c r="C59" s="18">
        <f t="shared" si="2"/>
        <v>190.26834324153637</v>
      </c>
      <c r="D59" s="35">
        <f t="shared" si="3"/>
        <v>166.48480033634434</v>
      </c>
      <c r="E59" s="18">
        <f t="shared" si="4"/>
        <v>159.9962837600504</v>
      </c>
      <c r="F59" s="18">
        <f t="shared" si="4"/>
        <v>159.9962837600504</v>
      </c>
      <c r="G59" s="18">
        <f t="shared" si="4"/>
        <v>139.99674829004411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Prices!K51</f>
        <v>102.23549674169699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155.861142157736</v>
      </c>
      <c r="C60" s="18">
        <f t="shared" si="2"/>
        <v>155.861142157736</v>
      </c>
      <c r="D60" s="35">
        <f t="shared" si="3"/>
        <v>136.37849938801901</v>
      </c>
      <c r="E60" s="18">
        <f t="shared" si="4"/>
        <v>131.0633345673175</v>
      </c>
      <c r="F60" s="18">
        <f t="shared" si="4"/>
        <v>131.0633345673175</v>
      </c>
      <c r="G60" s="18">
        <f t="shared" si="4"/>
        <v>114.68041774640282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Prices!K52</f>
        <v>104.17535037919332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127.60621689371712</v>
      </c>
      <c r="C61" s="18">
        <f t="shared" si="2"/>
        <v>127.60621689371712</v>
      </c>
      <c r="D61" s="35">
        <f t="shared" si="3"/>
        <v>111.65543978200247</v>
      </c>
      <c r="E61" s="18">
        <f t="shared" si="4"/>
        <v>107.30382227460679</v>
      </c>
      <c r="F61" s="18">
        <f t="shared" si="4"/>
        <v>107.30382227460679</v>
      </c>
      <c r="G61" s="18">
        <f t="shared" si="4"/>
        <v>93.890844490280941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Prices!K53</f>
        <v>106.14400108943958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104.53052973838439</v>
      </c>
      <c r="C62" s="18">
        <f t="shared" si="2"/>
        <v>104.53052973838439</v>
      </c>
      <c r="D62" s="35">
        <f t="shared" si="3"/>
        <v>91.464213521086336</v>
      </c>
      <c r="E62" s="18">
        <f t="shared" si="4"/>
        <v>87.899521342759598</v>
      </c>
      <c r="F62" s="18">
        <f t="shared" si="4"/>
        <v>87.899521342759598</v>
      </c>
      <c r="G62" s="18">
        <f t="shared" si="4"/>
        <v>76.912081174914647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Prices!K54</f>
        <v>108.16702481389075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85.627737530123781</v>
      </c>
      <c r="C63" s="18">
        <f t="shared" si="2"/>
        <v>85.627737530123781</v>
      </c>
      <c r="D63" s="35">
        <f t="shared" si="3"/>
        <v>74.924270338858307</v>
      </c>
      <c r="E63" s="18">
        <f t="shared" si="4"/>
        <v>72.004199743354945</v>
      </c>
      <c r="F63" s="18">
        <f t="shared" si="4"/>
        <v>72.004199743354945</v>
      </c>
      <c r="G63" s="18">
        <f t="shared" si="4"/>
        <v>63.00367477543557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Prices!K55</f>
        <v>110.19500901283094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7</v>
      </c>
      <c r="C70" s="32">
        <f>D70</f>
        <v>463.26161067934254</v>
      </c>
      <c r="D70" s="39">
        <f>IF(B50=0,0,IF(E$6=1,(E$4)/(E$5/365)*LN((E$4)/B50)/1000,(E$4)^E$6*((E$4)^(1-E$6)-B50^(1-E$6))/((1-E$6)*E$5/365)/1000))</f>
        <v>463.26161067934254</v>
      </c>
      <c r="E70" s="15">
        <f t="shared" ref="E70:E84" si="9">C70*E$11</f>
        <v>463.26161067934254</v>
      </c>
      <c r="F70" s="39">
        <f t="shared" ref="F70:F84" si="10">D70*E$11</f>
        <v>463.26161067934254</v>
      </c>
      <c r="G70" s="15">
        <f t="shared" ref="G70:G84" si="11">IF(E70=0,0,(H92-I92)/H92*E70)+C70*$K$26</f>
        <v>405.35390934442472</v>
      </c>
      <c r="H70" s="15">
        <f>G70</f>
        <v>405.35390934442472</v>
      </c>
      <c r="I70" s="15">
        <f t="shared" ref="I70:N84" si="12">C70*$G$8/1000</f>
        <v>389.55579711596164</v>
      </c>
      <c r="J70" s="15">
        <f t="shared" si="12"/>
        <v>389.55579711596164</v>
      </c>
      <c r="K70" s="15">
        <f t="shared" si="12"/>
        <v>389.55579711596164</v>
      </c>
      <c r="L70" s="15">
        <f t="shared" si="12"/>
        <v>389.55579711596164</v>
      </c>
      <c r="M70" s="15">
        <f t="shared" si="12"/>
        <v>340.8613224764664</v>
      </c>
      <c r="N70" s="15">
        <f t="shared" si="12"/>
        <v>340.8613224764664</v>
      </c>
    </row>
    <row r="71" spans="1:14">
      <c r="A71" s="38">
        <f t="shared" si="8"/>
        <v>43101</v>
      </c>
      <c r="B71" s="15">
        <f t="shared" ref="B71:B83" si="13">IF(B51=0,0,B70)</f>
        <v>7</v>
      </c>
      <c r="C71" s="15">
        <f t="shared" ref="C71:C84" si="14">D71-D70</f>
        <v>379.4876358735869</v>
      </c>
      <c r="D71" s="39">
        <f t="shared" ref="D71:D83" si="15">IF(B51=0,D70,IF(E$6=1,(E$4)/(E$5/365)*LN((E$4)/B51)/1000,(E$4)^E$6*((E$4)^(1-E$6)-B51^(1-E$6))/((1-E$6)*E$5/365)/1000))</f>
        <v>842.74924655292943</v>
      </c>
      <c r="E71" s="15">
        <f t="shared" si="9"/>
        <v>379.4876358735869</v>
      </c>
      <c r="F71" s="39">
        <f t="shared" si="10"/>
        <v>842.74924655292943</v>
      </c>
      <c r="G71" s="15">
        <f t="shared" si="11"/>
        <v>332.05168138938848</v>
      </c>
      <c r="H71" s="15">
        <f t="shared" ref="H71:H84" si="16">G71+H70</f>
        <v>737.40559073381314</v>
      </c>
      <c r="I71" s="15">
        <f t="shared" si="12"/>
        <v>319.1104228809325</v>
      </c>
      <c r="J71" s="15">
        <f t="shared" si="12"/>
        <v>708.66621999689414</v>
      </c>
      <c r="K71" s="15">
        <f t="shared" si="12"/>
        <v>319.1104228809325</v>
      </c>
      <c r="L71" s="15">
        <f t="shared" si="12"/>
        <v>708.66621999689414</v>
      </c>
      <c r="M71" s="15">
        <f t="shared" si="12"/>
        <v>279.22162002081592</v>
      </c>
      <c r="N71" s="15">
        <f t="shared" si="12"/>
        <v>620.08294249728226</v>
      </c>
    </row>
    <row r="72" spans="1:14">
      <c r="A72" s="38">
        <f t="shared" si="8"/>
        <v>43466</v>
      </c>
      <c r="B72" s="15">
        <f t="shared" si="13"/>
        <v>7</v>
      </c>
      <c r="C72" s="15">
        <f t="shared" si="14"/>
        <v>310.86293891207947</v>
      </c>
      <c r="D72" s="39">
        <f t="shared" si="15"/>
        <v>1153.6121854650089</v>
      </c>
      <c r="E72" s="15">
        <f t="shared" si="9"/>
        <v>310.86293891207947</v>
      </c>
      <c r="F72" s="39">
        <f t="shared" si="10"/>
        <v>1153.6121854650089</v>
      </c>
      <c r="G72" s="15">
        <f t="shared" si="11"/>
        <v>272.00507154806951</v>
      </c>
      <c r="H72" s="15">
        <f t="shared" si="16"/>
        <v>1009.4106622818827</v>
      </c>
      <c r="I72" s="15">
        <f t="shared" si="12"/>
        <v>261.40404723828226</v>
      </c>
      <c r="J72" s="15">
        <f t="shared" si="12"/>
        <v>970.0702672351764</v>
      </c>
      <c r="K72" s="15">
        <f t="shared" si="12"/>
        <v>261.40404723828226</v>
      </c>
      <c r="L72" s="15">
        <f t="shared" si="12"/>
        <v>970.0702672351764</v>
      </c>
      <c r="M72" s="15">
        <f t="shared" si="12"/>
        <v>228.72854133349699</v>
      </c>
      <c r="N72" s="15">
        <f t="shared" si="12"/>
        <v>848.81148383077925</v>
      </c>
    </row>
    <row r="73" spans="1:14">
      <c r="A73" s="38">
        <f t="shared" si="8"/>
        <v>43831</v>
      </c>
      <c r="B73" s="15">
        <f t="shared" si="13"/>
        <v>7</v>
      </c>
      <c r="C73" s="15">
        <f t="shared" si="14"/>
        <v>255.27822169904698</v>
      </c>
      <c r="D73" s="39">
        <f t="shared" si="15"/>
        <v>1408.8904071640559</v>
      </c>
      <c r="E73" s="15">
        <f t="shared" si="9"/>
        <v>255.27822169904698</v>
      </c>
      <c r="F73" s="39">
        <f t="shared" si="10"/>
        <v>1408.8904071640559</v>
      </c>
      <c r="G73" s="15">
        <f t="shared" si="11"/>
        <v>223.36844398666611</v>
      </c>
      <c r="H73" s="15">
        <f t="shared" si="16"/>
        <v>1232.7791062685487</v>
      </c>
      <c r="I73" s="15">
        <f t="shared" si="12"/>
        <v>214.66296547751438</v>
      </c>
      <c r="J73" s="15">
        <f t="shared" si="12"/>
        <v>1184.7332327126908</v>
      </c>
      <c r="K73" s="15">
        <f t="shared" si="12"/>
        <v>214.66296547751438</v>
      </c>
      <c r="L73" s="15">
        <f t="shared" si="12"/>
        <v>1184.7332327126908</v>
      </c>
      <c r="M73" s="15">
        <f t="shared" si="12"/>
        <v>187.83009479282509</v>
      </c>
      <c r="N73" s="15">
        <f t="shared" si="12"/>
        <v>1036.6415786236043</v>
      </c>
    </row>
    <row r="74" spans="1:14">
      <c r="A74" s="38">
        <f t="shared" si="8"/>
        <v>44197</v>
      </c>
      <c r="B74" s="15">
        <f t="shared" si="13"/>
        <v>7</v>
      </c>
      <c r="C74" s="15">
        <f t="shared" si="14"/>
        <v>208.4847270503451</v>
      </c>
      <c r="D74" s="39">
        <f t="shared" si="15"/>
        <v>1617.375134214401</v>
      </c>
      <c r="E74" s="15">
        <f t="shared" si="9"/>
        <v>208.4847270503451</v>
      </c>
      <c r="F74" s="39">
        <f t="shared" si="10"/>
        <v>1617.375134214401</v>
      </c>
      <c r="G74" s="15">
        <f t="shared" si="11"/>
        <v>182.42413616905196</v>
      </c>
      <c r="H74" s="15">
        <f t="shared" si="16"/>
        <v>1415.2032424376007</v>
      </c>
      <c r="I74" s="15">
        <f t="shared" si="12"/>
        <v>175.3144058569894</v>
      </c>
      <c r="J74" s="15">
        <f t="shared" si="12"/>
        <v>1360.0476385696802</v>
      </c>
      <c r="K74" s="15">
        <f t="shared" si="12"/>
        <v>175.3144058569894</v>
      </c>
      <c r="L74" s="15">
        <f t="shared" si="12"/>
        <v>1360.0476385696802</v>
      </c>
      <c r="M74" s="15">
        <f t="shared" si="12"/>
        <v>153.40010512486572</v>
      </c>
      <c r="N74" s="15">
        <f t="shared" si="12"/>
        <v>1190.0416837484699</v>
      </c>
    </row>
    <row r="75" spans="1:14">
      <c r="A75" s="38">
        <f t="shared" si="8"/>
        <v>44562</v>
      </c>
      <c r="B75" s="15">
        <f t="shared" si="13"/>
        <v>7</v>
      </c>
      <c r="C75" s="15">
        <f t="shared" si="14"/>
        <v>170.78336378459085</v>
      </c>
      <c r="D75" s="39">
        <f t="shared" si="15"/>
        <v>1788.1584979989918</v>
      </c>
      <c r="E75" s="15">
        <f t="shared" si="9"/>
        <v>170.78336378459085</v>
      </c>
      <c r="F75" s="39">
        <f t="shared" si="10"/>
        <v>1788.1584979989918</v>
      </c>
      <c r="G75" s="15">
        <f t="shared" si="11"/>
        <v>149.43544331151699</v>
      </c>
      <c r="H75" s="15">
        <f t="shared" si="16"/>
        <v>1564.6386857491177</v>
      </c>
      <c r="I75" s="15">
        <f t="shared" si="12"/>
        <v>143.61140202334099</v>
      </c>
      <c r="J75" s="15">
        <f t="shared" si="12"/>
        <v>1503.659040593021</v>
      </c>
      <c r="K75" s="15">
        <f t="shared" si="12"/>
        <v>143.61140202334099</v>
      </c>
      <c r="L75" s="15">
        <f t="shared" si="12"/>
        <v>1503.659040593021</v>
      </c>
      <c r="M75" s="15">
        <f t="shared" si="12"/>
        <v>125.65997677042336</v>
      </c>
      <c r="N75" s="15">
        <f t="shared" si="12"/>
        <v>1315.7016605188933</v>
      </c>
    </row>
    <row r="76" spans="1:14">
      <c r="A76" s="38">
        <f t="shared" si="8"/>
        <v>44927</v>
      </c>
      <c r="B76" s="15">
        <f t="shared" si="13"/>
        <v>7</v>
      </c>
      <c r="C76" s="15">
        <f t="shared" si="14"/>
        <v>139.89973154501877</v>
      </c>
      <c r="D76" s="39">
        <f t="shared" si="15"/>
        <v>1928.0582295440106</v>
      </c>
      <c r="E76" s="15">
        <f t="shared" si="9"/>
        <v>139.89973154501877</v>
      </c>
      <c r="F76" s="39">
        <f t="shared" si="10"/>
        <v>1928.0582295440106</v>
      </c>
      <c r="G76" s="15">
        <f t="shared" si="11"/>
        <v>122.41226510189142</v>
      </c>
      <c r="H76" s="15">
        <f t="shared" si="16"/>
        <v>1687.050950851009</v>
      </c>
      <c r="I76" s="15">
        <f t="shared" si="12"/>
        <v>117.64141509245718</v>
      </c>
      <c r="J76" s="15">
        <f t="shared" si="12"/>
        <v>1621.3004556854785</v>
      </c>
      <c r="K76" s="15">
        <f t="shared" si="12"/>
        <v>117.64141509245718</v>
      </c>
      <c r="L76" s="15">
        <f t="shared" si="12"/>
        <v>1621.3004556854785</v>
      </c>
      <c r="M76" s="15">
        <f t="shared" si="12"/>
        <v>102.93623820590003</v>
      </c>
      <c r="N76" s="15">
        <f t="shared" si="12"/>
        <v>1418.6378987247933</v>
      </c>
    </row>
    <row r="77" spans="1:14">
      <c r="A77" s="38">
        <f t="shared" si="8"/>
        <v>45292</v>
      </c>
      <c r="B77" s="15">
        <f t="shared" si="13"/>
        <v>7</v>
      </c>
      <c r="C77" s="15">
        <f t="shared" si="14"/>
        <v>114.88456877481713</v>
      </c>
      <c r="D77" s="39">
        <f t="shared" si="15"/>
        <v>2042.9427983188277</v>
      </c>
      <c r="E77" s="15">
        <f t="shared" si="9"/>
        <v>114.88456877481713</v>
      </c>
      <c r="F77" s="39">
        <f t="shared" si="10"/>
        <v>2042.9427983188277</v>
      </c>
      <c r="G77" s="15">
        <f t="shared" si="11"/>
        <v>100.52399767796499</v>
      </c>
      <c r="H77" s="15">
        <f t="shared" si="16"/>
        <v>1787.5749485289739</v>
      </c>
      <c r="I77" s="15">
        <f t="shared" si="12"/>
        <v>96.606212847571555</v>
      </c>
      <c r="J77" s="15">
        <f t="shared" si="12"/>
        <v>1717.9066685330497</v>
      </c>
      <c r="K77" s="15">
        <f t="shared" si="12"/>
        <v>96.606212847571555</v>
      </c>
      <c r="L77" s="15">
        <f t="shared" si="12"/>
        <v>1717.9066685330497</v>
      </c>
      <c r="M77" s="15">
        <f t="shared" si="12"/>
        <v>84.530436241625125</v>
      </c>
      <c r="N77" s="15">
        <f t="shared" si="12"/>
        <v>1503.1683349664183</v>
      </c>
    </row>
    <row r="78" spans="1:14">
      <c r="A78" s="38">
        <f t="shared" si="8"/>
        <v>45658</v>
      </c>
      <c r="B78" s="15">
        <f t="shared" si="13"/>
        <v>7</v>
      </c>
      <c r="C78" s="15">
        <f t="shared" si="14"/>
        <v>93.82577880674603</v>
      </c>
      <c r="D78" s="39">
        <f t="shared" si="15"/>
        <v>2136.7685771255738</v>
      </c>
      <c r="E78" s="15">
        <f t="shared" si="9"/>
        <v>93.82577880674603</v>
      </c>
      <c r="F78" s="39">
        <f t="shared" si="10"/>
        <v>2136.7685771255738</v>
      </c>
      <c r="G78" s="15">
        <f t="shared" si="11"/>
        <v>82.097556455902776</v>
      </c>
      <c r="H78" s="15">
        <f t="shared" si="16"/>
        <v>1869.6725049848767</v>
      </c>
      <c r="I78" s="15">
        <f t="shared" si="12"/>
        <v>78.897916880030564</v>
      </c>
      <c r="J78" s="15">
        <f t="shared" si="12"/>
        <v>1796.8045854130803</v>
      </c>
      <c r="K78" s="15">
        <f t="shared" si="12"/>
        <v>78.897916880030564</v>
      </c>
      <c r="L78" s="15">
        <f t="shared" si="12"/>
        <v>1796.8045854130803</v>
      </c>
      <c r="M78" s="15">
        <f t="shared" si="12"/>
        <v>69.035677270026753</v>
      </c>
      <c r="N78" s="15">
        <f t="shared" si="12"/>
        <v>1572.2040122364449</v>
      </c>
    </row>
    <row r="79" spans="1:14">
      <c r="A79" s="38">
        <f t="shared" si="8"/>
        <v>46023</v>
      </c>
      <c r="B79" s="15">
        <f t="shared" si="13"/>
        <v>7</v>
      </c>
      <c r="C79" s="15">
        <f t="shared" si="14"/>
        <v>76.858781652891139</v>
      </c>
      <c r="D79" s="39">
        <f t="shared" si="15"/>
        <v>2213.6273587784649</v>
      </c>
      <c r="E79" s="15">
        <f t="shared" si="9"/>
        <v>76.858781652891139</v>
      </c>
      <c r="F79" s="39">
        <f t="shared" si="10"/>
        <v>2213.6273587784649</v>
      </c>
      <c r="G79" s="15">
        <f t="shared" si="11"/>
        <v>67.251433946279747</v>
      </c>
      <c r="H79" s="15">
        <f t="shared" si="16"/>
        <v>1936.9239389311565</v>
      </c>
      <c r="I79" s="15">
        <f t="shared" si="12"/>
        <v>64.630401617452122</v>
      </c>
      <c r="J79" s="15">
        <f t="shared" si="12"/>
        <v>1861.4349870305325</v>
      </c>
      <c r="K79" s="15">
        <f t="shared" si="12"/>
        <v>64.630401617452122</v>
      </c>
      <c r="L79" s="15">
        <f t="shared" si="12"/>
        <v>1861.4349870305325</v>
      </c>
      <c r="M79" s="15">
        <f t="shared" si="12"/>
        <v>56.551601415270596</v>
      </c>
      <c r="N79" s="15">
        <f t="shared" si="12"/>
        <v>1628.7556136517157</v>
      </c>
    </row>
    <row r="80" spans="1:14">
      <c r="A80" s="38">
        <f t="shared" si="8"/>
        <v>46388</v>
      </c>
      <c r="B80" s="15">
        <f t="shared" si="13"/>
        <v>7</v>
      </c>
      <c r="C80" s="15">
        <f t="shared" si="14"/>
        <v>62.960013679546137</v>
      </c>
      <c r="D80" s="39">
        <f t="shared" si="15"/>
        <v>2276.587372458011</v>
      </c>
      <c r="E80" s="15">
        <f t="shared" si="9"/>
        <v>62.960013679546137</v>
      </c>
      <c r="F80" s="39">
        <f t="shared" si="10"/>
        <v>2276.587372458011</v>
      </c>
      <c r="G80" s="15">
        <f t="shared" si="11"/>
        <v>55.09001196960287</v>
      </c>
      <c r="H80" s="15">
        <f t="shared" si="16"/>
        <v>1992.0139509007595</v>
      </c>
      <c r="I80" s="15">
        <f t="shared" si="12"/>
        <v>52.942954369564617</v>
      </c>
      <c r="J80" s="15">
        <f t="shared" si="12"/>
        <v>1914.3779414000971</v>
      </c>
      <c r="K80" s="15">
        <f t="shared" si="12"/>
        <v>52.942954369564617</v>
      </c>
      <c r="L80" s="15">
        <f t="shared" si="12"/>
        <v>1914.3779414000971</v>
      </c>
      <c r="M80" s="15">
        <f t="shared" si="12"/>
        <v>46.325085073369038</v>
      </c>
      <c r="N80" s="15">
        <f t="shared" si="12"/>
        <v>1675.0806987250849</v>
      </c>
    </row>
    <row r="81" spans="1:18">
      <c r="A81" s="38">
        <f t="shared" si="8"/>
        <v>46753</v>
      </c>
      <c r="B81" s="15">
        <f t="shared" si="13"/>
        <v>7</v>
      </c>
      <c r="C81" s="15">
        <f t="shared" si="14"/>
        <v>51.702272347131839</v>
      </c>
      <c r="D81" s="39">
        <f t="shared" si="15"/>
        <v>2328.2896448051429</v>
      </c>
      <c r="E81" s="15">
        <f t="shared" si="9"/>
        <v>51.702272347131839</v>
      </c>
      <c r="F81" s="39">
        <f t="shared" si="10"/>
        <v>2328.2896448051429</v>
      </c>
      <c r="G81" s="15">
        <f t="shared" si="11"/>
        <v>45.239488303740359</v>
      </c>
      <c r="H81" s="15">
        <f t="shared" si="16"/>
        <v>2037.2534392045</v>
      </c>
      <c r="I81" s="15">
        <f t="shared" si="12"/>
        <v>43.476341342763448</v>
      </c>
      <c r="J81" s="15">
        <f t="shared" si="12"/>
        <v>1957.8542827428605</v>
      </c>
      <c r="K81" s="15">
        <f t="shared" si="12"/>
        <v>43.476341342763448</v>
      </c>
      <c r="L81" s="15">
        <f t="shared" si="12"/>
        <v>1957.8542827428605</v>
      </c>
      <c r="M81" s="15">
        <f t="shared" si="12"/>
        <v>38.041798674918013</v>
      </c>
      <c r="N81" s="15">
        <f t="shared" si="12"/>
        <v>1713.1224974000031</v>
      </c>
    </row>
    <row r="82" spans="1:18">
      <c r="A82" s="38">
        <f t="shared" si="8"/>
        <v>47119</v>
      </c>
      <c r="B82" s="15">
        <f t="shared" si="13"/>
        <v>7</v>
      </c>
      <c r="C82" s="15">
        <f t="shared" si="14"/>
        <v>42.225043979200109</v>
      </c>
      <c r="D82" s="39">
        <f t="shared" si="15"/>
        <v>2370.514688784343</v>
      </c>
      <c r="E82" s="15">
        <f t="shared" si="9"/>
        <v>42.225043979200109</v>
      </c>
      <c r="F82" s="39">
        <f t="shared" si="10"/>
        <v>2370.514688784343</v>
      </c>
      <c r="G82" s="15">
        <f t="shared" si="11"/>
        <v>36.946913481800088</v>
      </c>
      <c r="H82" s="15">
        <f t="shared" si="16"/>
        <v>2074.2003526863</v>
      </c>
      <c r="I82" s="15">
        <f t="shared" si="12"/>
        <v>35.506958242131148</v>
      </c>
      <c r="J82" s="15">
        <f t="shared" si="12"/>
        <v>1993.3612409849916</v>
      </c>
      <c r="K82" s="15">
        <f t="shared" si="12"/>
        <v>35.506958242131148</v>
      </c>
      <c r="L82" s="15">
        <f t="shared" si="12"/>
        <v>1993.3612409849916</v>
      </c>
      <c r="M82" s="15">
        <f t="shared" si="12"/>
        <v>31.068588461864749</v>
      </c>
      <c r="N82" s="15">
        <f t="shared" si="12"/>
        <v>1744.1910858618678</v>
      </c>
    </row>
    <row r="83" spans="1:18">
      <c r="A83" s="38">
        <f t="shared" si="8"/>
        <v>47484</v>
      </c>
      <c r="B83" s="15">
        <f t="shared" si="13"/>
        <v>7</v>
      </c>
      <c r="C83" s="15">
        <f t="shared" si="14"/>
        <v>34.589272551263548</v>
      </c>
      <c r="D83" s="39">
        <f t="shared" si="15"/>
        <v>2405.1039613356065</v>
      </c>
      <c r="E83" s="15">
        <f t="shared" si="9"/>
        <v>34.589272551263548</v>
      </c>
      <c r="F83" s="39">
        <f t="shared" si="10"/>
        <v>2405.1039613356065</v>
      </c>
      <c r="G83" s="15">
        <f t="shared" si="11"/>
        <v>30.265613482355604</v>
      </c>
      <c r="H83" s="15">
        <f t="shared" si="16"/>
        <v>2104.4659661686555</v>
      </c>
      <c r="I83" s="15">
        <f t="shared" si="12"/>
        <v>29.086052739421532</v>
      </c>
      <c r="J83" s="15">
        <f t="shared" si="12"/>
        <v>2022.4472937244132</v>
      </c>
      <c r="K83" s="15">
        <f t="shared" si="12"/>
        <v>29.086052739421532</v>
      </c>
      <c r="L83" s="15">
        <f t="shared" si="12"/>
        <v>2022.4472937244132</v>
      </c>
      <c r="M83" s="15">
        <f t="shared" si="12"/>
        <v>25.450296146993839</v>
      </c>
      <c r="N83" s="15">
        <f t="shared" si="12"/>
        <v>1769.6413820088615</v>
      </c>
    </row>
    <row r="84" spans="1:18">
      <c r="A84" s="38">
        <f t="shared" si="8"/>
        <v>47849</v>
      </c>
      <c r="B84" s="15">
        <f>IF(B63=0,0,B83)</f>
        <v>7</v>
      </c>
      <c r="C84" s="15">
        <f t="shared" si="14"/>
        <v>103.7738785544966</v>
      </c>
      <c r="D84" s="39">
        <f>IF(B63=0,D83,IF(E$6=1,(E$4)/(E$5/365)*LN((E$4)/E7)/1000,(E$4)^E$6*((E$4)^(1-E$6)-E7^(1-E$6))/((1-E$6)*E$5/365)/1000))</f>
        <v>2508.8778398901031</v>
      </c>
      <c r="E84" s="15">
        <f t="shared" si="9"/>
        <v>103.7738785544966</v>
      </c>
      <c r="F84" s="39">
        <f t="shared" si="10"/>
        <v>2508.8778398901031</v>
      </c>
      <c r="G84" s="18">
        <f t="shared" si="11"/>
        <v>90.802143735184515</v>
      </c>
      <c r="H84" s="15">
        <f t="shared" si="16"/>
        <v>2195.26810990384</v>
      </c>
      <c r="I84" s="15">
        <f t="shared" si="12"/>
        <v>87.263254818007198</v>
      </c>
      <c r="J84" s="15">
        <f t="shared" si="12"/>
        <v>2109.7105485424204</v>
      </c>
      <c r="K84" s="15">
        <f t="shared" si="12"/>
        <v>87.263254818007198</v>
      </c>
      <c r="L84" s="15">
        <f t="shared" si="12"/>
        <v>2109.7105485424204</v>
      </c>
      <c r="M84" s="15">
        <f t="shared" si="12"/>
        <v>76.355347965756295</v>
      </c>
      <c r="N84" s="15">
        <f t="shared" si="12"/>
        <v>1845.9967299746177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10000</v>
      </c>
      <c r="N91" s="41">
        <f t="shared" ref="N91:N106" si="17">L91-M91</f>
        <v>-10000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36247.90989063165</v>
      </c>
      <c r="I92" s="41">
        <f t="shared" ref="I92:I106" si="21">E70*K49*E$26+E70*(K49-E$14)*G$26+K70*L49*E$26+K70*(L49-E$15)*G$26+D92*M49*(E$26+G$26)/1000</f>
        <v>4530.9887363289563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4306.0928854347403</v>
      </c>
      <c r="L92" s="41">
        <f t="shared" ref="L92:L106" si="24">H92+J92-I92-K92</f>
        <v>27410.828268867954</v>
      </c>
      <c r="M92" s="41">
        <f t="shared" ref="M92:M104" si="25">IF(B71&lt;B70,E$24*(1+E$21/365)^(A49-A$49),0)</f>
        <v>0</v>
      </c>
      <c r="N92" s="41">
        <f t="shared" si="17"/>
        <v>27410.828268867954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31354.443686639002</v>
      </c>
      <c r="I93" s="41">
        <f t="shared" si="21"/>
        <v>3919.3054608298753</v>
      </c>
      <c r="J93" s="41">
        <f t="shared" si="22"/>
        <v>0</v>
      </c>
      <c r="K93" s="41">
        <f t="shared" si="23"/>
        <v>3708.6191087284692</v>
      </c>
      <c r="L93" s="41">
        <f t="shared" si="24"/>
        <v>23726.519117080657</v>
      </c>
      <c r="M93" s="41">
        <f t="shared" si="25"/>
        <v>0</v>
      </c>
      <c r="N93" s="41">
        <f t="shared" si="17"/>
        <v>23726.519117080657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26706.981430360531</v>
      </c>
      <c r="I94" s="41">
        <f t="shared" si="21"/>
        <v>3338.3726787950663</v>
      </c>
      <c r="J94" s="41">
        <f t="shared" si="22"/>
        <v>0</v>
      </c>
      <c r="K94" s="41">
        <f t="shared" si="23"/>
        <v>3211.61441315302</v>
      </c>
      <c r="L94" s="41">
        <f t="shared" si="24"/>
        <v>20156.994338412445</v>
      </c>
      <c r="M94" s="41">
        <f t="shared" si="25"/>
        <v>0</v>
      </c>
      <c r="N94" s="41">
        <f t="shared" si="17"/>
        <v>20156.994338412445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22808.156327089702</v>
      </c>
      <c r="I95" s="41">
        <f t="shared" si="21"/>
        <v>2851.0195408862128</v>
      </c>
      <c r="J95" s="41">
        <f t="shared" si="22"/>
        <v>0</v>
      </c>
      <c r="K95" s="41">
        <f t="shared" si="23"/>
        <v>2803.9511287424179</v>
      </c>
      <c r="L95" s="41">
        <f t="shared" si="24"/>
        <v>17153.185657461072</v>
      </c>
      <c r="M95" s="41">
        <f t="shared" si="25"/>
        <v>0</v>
      </c>
      <c r="N95" s="41">
        <f t="shared" si="17"/>
        <v>17153.185657461072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19323.645690195641</v>
      </c>
      <c r="I96" s="41">
        <f t="shared" si="21"/>
        <v>2415.4557112744551</v>
      </c>
      <c r="J96" s="41">
        <f t="shared" si="22"/>
        <v>0</v>
      </c>
      <c r="K96" s="41">
        <f t="shared" si="23"/>
        <v>2454.9570704965849</v>
      </c>
      <c r="L96" s="41">
        <f t="shared" si="24"/>
        <v>14453.232908424601</v>
      </c>
      <c r="M96" s="41">
        <f t="shared" si="25"/>
        <v>0</v>
      </c>
      <c r="N96" s="41">
        <f t="shared" si="17"/>
        <v>14453.232908424601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16390.628287491596</v>
      </c>
      <c r="I97" s="41">
        <f t="shared" si="21"/>
        <v>2048.8285359364495</v>
      </c>
      <c r="J97" s="41">
        <f t="shared" si="22"/>
        <v>0</v>
      </c>
      <c r="K97" s="41">
        <f t="shared" si="23"/>
        <v>2171.0353332678233</v>
      </c>
      <c r="L97" s="41">
        <f t="shared" si="24"/>
        <v>12170.764418287323</v>
      </c>
      <c r="M97" s="41">
        <f t="shared" si="25"/>
        <v>0</v>
      </c>
      <c r="N97" s="41">
        <f t="shared" si="17"/>
        <v>12170.764418287323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13747.721279873354</v>
      </c>
      <c r="I98" s="41">
        <f t="shared" si="21"/>
        <v>1718.4651599841693</v>
      </c>
      <c r="J98" s="41">
        <f t="shared" si="22"/>
        <v>0</v>
      </c>
      <c r="K98" s="41">
        <f t="shared" si="23"/>
        <v>1936.2010559712298</v>
      </c>
      <c r="L98" s="41">
        <f t="shared" si="24"/>
        <v>10093.055063917956</v>
      </c>
      <c r="M98" s="41">
        <f t="shared" si="25"/>
        <v>0</v>
      </c>
      <c r="N98" s="41">
        <f t="shared" si="17"/>
        <v>10093.055063917956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11556.91452452514</v>
      </c>
      <c r="I99" s="41">
        <f t="shared" si="21"/>
        <v>1444.6143155656425</v>
      </c>
      <c r="J99" s="41">
        <f t="shared" si="22"/>
        <v>0</v>
      </c>
      <c r="K99" s="41">
        <f t="shared" si="23"/>
        <v>1745.0361335019725</v>
      </c>
      <c r="L99" s="41">
        <f t="shared" si="24"/>
        <v>8367.2640754575259</v>
      </c>
      <c r="M99" s="41">
        <f t="shared" si="25"/>
        <v>0</v>
      </c>
      <c r="N99" s="41">
        <f t="shared" si="17"/>
        <v>8367.2640754575259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9657.5002400072881</v>
      </c>
      <c r="I100" s="41">
        <f t="shared" si="21"/>
        <v>1207.187530000911</v>
      </c>
      <c r="J100" s="41">
        <f t="shared" si="22"/>
        <v>0</v>
      </c>
      <c r="K100" s="41">
        <f t="shared" si="23"/>
        <v>1582.6221770850207</v>
      </c>
      <c r="L100" s="41">
        <f t="shared" si="24"/>
        <v>6867.6905329213569</v>
      </c>
      <c r="M100" s="41">
        <f t="shared" si="25"/>
        <v>0</v>
      </c>
      <c r="N100" s="41">
        <f t="shared" si="17"/>
        <v>6867.6905329213569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8076.612702328619</v>
      </c>
      <c r="I101" s="41">
        <f t="shared" si="21"/>
        <v>1009.5765877910774</v>
      </c>
      <c r="J101" s="41">
        <f t="shared" si="22"/>
        <v>0</v>
      </c>
      <c r="K101" s="41">
        <f t="shared" si="23"/>
        <v>1452.0399602134778</v>
      </c>
      <c r="L101" s="41">
        <f t="shared" si="24"/>
        <v>5614.9961543240643</v>
      </c>
      <c r="M101" s="41">
        <f t="shared" si="25"/>
        <v>0</v>
      </c>
      <c r="N101" s="41">
        <f t="shared" si="17"/>
        <v>5614.9961543240643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6739.3748992298779</v>
      </c>
      <c r="I102" s="41">
        <f t="shared" si="21"/>
        <v>842.42186240373474</v>
      </c>
      <c r="J102" s="41">
        <f t="shared" si="22"/>
        <v>0</v>
      </c>
      <c r="K102" s="41">
        <f t="shared" si="23"/>
        <v>1345.525886654543</v>
      </c>
      <c r="L102" s="41">
        <f t="shared" si="24"/>
        <v>4551.4271501716003</v>
      </c>
      <c r="M102" s="41">
        <f t="shared" si="25"/>
        <v>0</v>
      </c>
      <c r="N102" s="41">
        <f t="shared" si="17"/>
        <v>4551.4271501716003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5639.6911103309994</v>
      </c>
      <c r="I103" s="41">
        <f t="shared" si="21"/>
        <v>704.96138879137493</v>
      </c>
      <c r="J103" s="41">
        <f t="shared" si="22"/>
        <v>0</v>
      </c>
      <c r="K103" s="41">
        <f t="shared" si="23"/>
        <v>1260.4435622321289</v>
      </c>
      <c r="L103" s="41">
        <f t="shared" si="24"/>
        <v>3674.2861593074958</v>
      </c>
      <c r="M103" s="41">
        <f t="shared" si="25"/>
        <v>0</v>
      </c>
      <c r="N103" s="41">
        <f t="shared" si="17"/>
        <v>3674.2861593074958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4692.6981106104759</v>
      </c>
      <c r="I104" s="41">
        <f t="shared" si="21"/>
        <v>586.58726382630948</v>
      </c>
      <c r="J104" s="41">
        <f t="shared" si="22"/>
        <v>0</v>
      </c>
      <c r="K104" s="41">
        <f t="shared" si="23"/>
        <v>1189.5511983188744</v>
      </c>
      <c r="L104" s="41">
        <f t="shared" si="24"/>
        <v>2916.5596484652915</v>
      </c>
      <c r="M104" s="41">
        <f t="shared" si="25"/>
        <v>0</v>
      </c>
      <c r="N104" s="41">
        <f t="shared" si="17"/>
        <v>2916.5596484652915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3917.5639321018584</v>
      </c>
      <c r="I105" s="41">
        <f t="shared" si="21"/>
        <v>489.6954915127323</v>
      </c>
      <c r="J105" s="41">
        <f t="shared" si="22"/>
        <v>0</v>
      </c>
      <c r="K105" s="41">
        <f t="shared" si="23"/>
        <v>1134.3078832162157</v>
      </c>
      <c r="L105" s="41">
        <f t="shared" si="24"/>
        <v>2293.5605573729108</v>
      </c>
      <c r="M105" s="41">
        <f>IF(B84&lt;B83,E$24*(1+E$21/365)^(A62-A$49),0)</f>
        <v>0</v>
      </c>
      <c r="N105" s="41">
        <f t="shared" si="17"/>
        <v>2293.5605573729108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11974.473386717953</v>
      </c>
      <c r="I106" s="41">
        <f t="shared" si="21"/>
        <v>1496.8091733397441</v>
      </c>
      <c r="J106" s="41">
        <f t="shared" si="22"/>
        <v>0</v>
      </c>
      <c r="K106" s="41">
        <f t="shared" si="23"/>
        <v>1887.4138621177397</v>
      </c>
      <c r="L106" s="41">
        <f t="shared" si="24"/>
        <v>8590.250351260469</v>
      </c>
      <c r="M106" s="41">
        <f>IF(B85&lt;B84,E$24*(1+E$21/365)^(A63-A$49),0)</f>
        <v>1588.0046085013016</v>
      </c>
      <c r="N106" s="41">
        <f t="shared" si="17"/>
        <v>7002.2457427591671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C44" workbookViewId="0">
      <selection activeCell="I58" sqref="I58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465</v>
      </c>
    </row>
    <row r="5" spans="1:11">
      <c r="B5" t="s">
        <v>83</v>
      </c>
      <c r="I5" s="3">
        <f>'Cost inputs'!D60</f>
        <v>400</v>
      </c>
      <c r="J5" t="s">
        <v>61</v>
      </c>
      <c r="K5" t="s">
        <v>91</v>
      </c>
    </row>
    <row r="6" spans="1:11">
      <c r="B6" t="s">
        <v>85</v>
      </c>
      <c r="I6" s="3">
        <f>'Cost inputs'!D61</f>
        <v>900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inputs'!D62</f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inputs'!D63</f>
        <v>200</v>
      </c>
      <c r="J8" t="s">
        <v>61</v>
      </c>
      <c r="K8" t="s">
        <v>91</v>
      </c>
    </row>
    <row r="9" spans="1:11">
      <c r="B9" t="s">
        <v>466</v>
      </c>
      <c r="H9" s="5"/>
      <c r="I9" s="3">
        <f>'Cost inputs'!D64</f>
        <v>30</v>
      </c>
      <c r="J9" t="s">
        <v>61</v>
      </c>
      <c r="K9" t="s">
        <v>91</v>
      </c>
    </row>
    <row r="10" spans="1:11">
      <c r="B10" t="s">
        <v>467</v>
      </c>
      <c r="H10" s="5"/>
      <c r="I10" s="3">
        <f>'Cost inputs'!D66</f>
        <v>40</v>
      </c>
      <c r="J10" t="s">
        <v>61</v>
      </c>
      <c r="K10" t="s">
        <v>91</v>
      </c>
    </row>
    <row r="11" spans="1:11">
      <c r="B11" t="s">
        <v>400</v>
      </c>
      <c r="H11" s="5"/>
      <c r="I11" s="3">
        <f>'Cost inputs'!D68</f>
        <v>75</v>
      </c>
      <c r="J11" t="s">
        <v>61</v>
      </c>
      <c r="K11" t="s">
        <v>91</v>
      </c>
    </row>
    <row r="12" spans="1:11">
      <c r="B12" t="s">
        <v>60</v>
      </c>
      <c r="I12" s="3">
        <f>'Cost inputs'!D69</f>
        <v>100</v>
      </c>
      <c r="J12" t="s">
        <v>61</v>
      </c>
      <c r="K12" t="s">
        <v>91</v>
      </c>
    </row>
    <row r="13" spans="1:11">
      <c r="B13" t="s">
        <v>468</v>
      </c>
      <c r="I13" s="3">
        <f>'Cost inputs'!D71</f>
        <v>400</v>
      </c>
      <c r="J13" t="s">
        <v>58</v>
      </c>
      <c r="K13" t="s">
        <v>91</v>
      </c>
    </row>
    <row r="14" spans="1:11">
      <c r="B14" t="s">
        <v>191</v>
      </c>
      <c r="I14" s="3">
        <f>'Cost inputs'!D72</f>
        <v>60</v>
      </c>
      <c r="J14" t="s">
        <v>61</v>
      </c>
      <c r="K14" t="s">
        <v>91</v>
      </c>
    </row>
    <row r="15" spans="1:11">
      <c r="B15" t="s">
        <v>199</v>
      </c>
      <c r="I15" s="3">
        <f>'Cost inputs'!D74</f>
        <v>150</v>
      </c>
      <c r="J15" t="s">
        <v>61</v>
      </c>
      <c r="K15" t="s">
        <v>91</v>
      </c>
    </row>
    <row r="16" spans="1:11">
      <c r="B16" t="s">
        <v>213</v>
      </c>
      <c r="I16" s="3">
        <f>'Cost inputs'!D77</f>
        <v>75</v>
      </c>
      <c r="J16" t="s">
        <v>58</v>
      </c>
      <c r="K16" t="s">
        <v>91</v>
      </c>
    </row>
    <row r="18" spans="1:11">
      <c r="A18" t="s">
        <v>373</v>
      </c>
    </row>
    <row r="19" spans="1:11">
      <c r="B19" t="s">
        <v>62</v>
      </c>
      <c r="C19" s="8">
        <f>C21*E21/43560</f>
        <v>1124.8852157943068</v>
      </c>
      <c r="D19" t="s">
        <v>68</v>
      </c>
      <c r="E19" t="s">
        <v>206</v>
      </c>
      <c r="G19" t="s">
        <v>207</v>
      </c>
      <c r="I19" s="11">
        <f>Summary!G14</f>
        <v>412.82540874006332</v>
      </c>
      <c r="J19" t="s">
        <v>208</v>
      </c>
      <c r="K19" t="s">
        <v>339</v>
      </c>
    </row>
    <row r="20" spans="1:11">
      <c r="B20" s="65" t="s">
        <v>243</v>
      </c>
      <c r="C20" s="8">
        <f>C19*259/640</f>
        <v>455.2269857667585</v>
      </c>
      <c r="D20" t="s">
        <v>325</v>
      </c>
      <c r="G20" t="s">
        <v>80</v>
      </c>
      <c r="I20" s="73">
        <f>Summary!H14</f>
        <v>20</v>
      </c>
      <c r="J20" t="s">
        <v>81</v>
      </c>
      <c r="K20" t="s">
        <v>339</v>
      </c>
    </row>
    <row r="21" spans="1:11">
      <c r="B21" s="65" t="s">
        <v>243</v>
      </c>
      <c r="C21">
        <f>Summary!D14</f>
        <v>7000</v>
      </c>
      <c r="D21" t="s">
        <v>245</v>
      </c>
      <c r="E21">
        <f>Summary!C14</f>
        <v>7000</v>
      </c>
      <c r="F21" t="s">
        <v>244</v>
      </c>
      <c r="G21" t="s">
        <v>206</v>
      </c>
      <c r="I21" s="11">
        <f>I19*I20*C19/1000</f>
        <v>9287.6239799187824</v>
      </c>
      <c r="J21" t="s">
        <v>135</v>
      </c>
    </row>
    <row r="22" spans="1:11">
      <c r="A22" t="s">
        <v>200</v>
      </c>
      <c r="C22">
        <f>Summary!C34</f>
        <v>100</v>
      </c>
      <c r="D22" t="s">
        <v>340</v>
      </c>
      <c r="I22" s="8"/>
    </row>
    <row r="23" spans="1:11">
      <c r="E23" t="s">
        <v>63</v>
      </c>
      <c r="F23" t="s">
        <v>65</v>
      </c>
      <c r="G23">
        <f>ROUNDDOWN(C19/C22,0)</f>
        <v>11</v>
      </c>
      <c r="H23" t="s">
        <v>67</v>
      </c>
      <c r="I23" s="3">
        <f>G23*SUM(I$5,I$7,I9,I$12)</f>
        <v>6930</v>
      </c>
      <c r="J23" t="s">
        <v>58</v>
      </c>
    </row>
    <row r="24" spans="1:11">
      <c r="E24" t="s">
        <v>471</v>
      </c>
      <c r="I24" s="3">
        <f>I13</f>
        <v>400</v>
      </c>
      <c r="J24" t="s">
        <v>58</v>
      </c>
    </row>
    <row r="25" spans="1:11">
      <c r="E25" t="s">
        <v>69</v>
      </c>
      <c r="I25" s="3">
        <f>SUM(I23:I24)</f>
        <v>7330</v>
      </c>
      <c r="J25" t="s">
        <v>58</v>
      </c>
    </row>
    <row r="27" spans="1:11">
      <c r="C27" t="s">
        <v>70</v>
      </c>
      <c r="G27" s="8">
        <f>Summary!E34</f>
        <v>150</v>
      </c>
      <c r="H27" t="s">
        <v>211</v>
      </c>
      <c r="I27">
        <f>G27*G23</f>
        <v>1650</v>
      </c>
      <c r="J27" t="s">
        <v>212</v>
      </c>
    </row>
    <row r="28" spans="1:11">
      <c r="C28" t="s">
        <v>71</v>
      </c>
      <c r="I28" s="6">
        <f>(I27-I29)*0.365/I30</f>
        <v>8.8032667532277439E-2</v>
      </c>
      <c r="J28" s="4" t="s">
        <v>74</v>
      </c>
    </row>
    <row r="29" spans="1:11">
      <c r="C29" t="s">
        <v>72</v>
      </c>
      <c r="I29" s="8">
        <f>I36*1000/(30.4*(I33*(1-I34)-I35))</f>
        <v>81.972548514251244</v>
      </c>
      <c r="J29" t="s">
        <v>212</v>
      </c>
    </row>
    <row r="30" spans="1:11">
      <c r="C30" t="s">
        <v>75</v>
      </c>
      <c r="I30" s="8">
        <f>I21*I31</f>
        <v>6501.3367859431473</v>
      </c>
      <c r="J30" t="s">
        <v>135</v>
      </c>
    </row>
    <row r="31" spans="1:11">
      <c r="C31" t="s">
        <v>82</v>
      </c>
      <c r="I31" s="9">
        <f>Summary!H34</f>
        <v>0.7</v>
      </c>
      <c r="K31" t="s">
        <v>347</v>
      </c>
    </row>
    <row r="32" spans="1:11">
      <c r="C32" t="s">
        <v>100</v>
      </c>
      <c r="I32" s="8">
        <v>0</v>
      </c>
      <c r="J32" t="s">
        <v>328</v>
      </c>
      <c r="K32" t="s">
        <v>404</v>
      </c>
    </row>
    <row r="33" spans="1:10">
      <c r="C33" t="s">
        <v>355</v>
      </c>
      <c r="I33" s="2">
        <f>Prices!F14</f>
        <v>4.8718819288820665</v>
      </c>
      <c r="J33" s="4" t="s">
        <v>187</v>
      </c>
    </row>
    <row r="34" spans="1:10">
      <c r="C34" t="s">
        <v>354</v>
      </c>
      <c r="I34" s="66">
        <v>0.125</v>
      </c>
    </row>
    <row r="35" spans="1:10">
      <c r="C35" t="s">
        <v>185</v>
      </c>
      <c r="I35" s="2">
        <f>Summary!G56</f>
        <v>0.25</v>
      </c>
      <c r="J35" s="4" t="s">
        <v>111</v>
      </c>
    </row>
    <row r="36" spans="1:10">
      <c r="C36" t="s">
        <v>186</v>
      </c>
      <c r="I36" s="3">
        <f>Summary!F56</f>
        <v>10</v>
      </c>
      <c r="J36" s="4" t="s">
        <v>188</v>
      </c>
    </row>
    <row r="37" spans="1:10">
      <c r="C37" t="s">
        <v>334</v>
      </c>
      <c r="I37" s="76">
        <f>G23*I14</f>
        <v>660</v>
      </c>
      <c r="J37" s="4" t="s">
        <v>335</v>
      </c>
    </row>
    <row r="38" spans="1:10">
      <c r="C38" t="s">
        <v>192</v>
      </c>
      <c r="I38" s="76">
        <f>I16</f>
        <v>75</v>
      </c>
      <c r="J38" s="4" t="s">
        <v>335</v>
      </c>
    </row>
    <row r="39" spans="1:10">
      <c r="C39" t="s">
        <v>203</v>
      </c>
      <c r="I39" s="76">
        <f>'Cam gas vert'!C35</f>
        <v>3229.793774162204</v>
      </c>
      <c r="J39" s="4" t="s">
        <v>58</v>
      </c>
    </row>
    <row r="40" spans="1:10">
      <c r="C40" t="s">
        <v>204</v>
      </c>
      <c r="I40" s="76">
        <f>'Cam gas vert'!C36</f>
        <v>2050.4888397681948</v>
      </c>
      <c r="J40" s="4" t="s">
        <v>58</v>
      </c>
    </row>
    <row r="41" spans="1:10">
      <c r="C41" t="s">
        <v>197</v>
      </c>
      <c r="I41" s="44">
        <f>'Cam gas vert'!C38</f>
        <v>0.2172915530350874</v>
      </c>
      <c r="J41" s="4"/>
    </row>
    <row r="43" spans="1:10">
      <c r="A43" t="s">
        <v>200</v>
      </c>
      <c r="C43">
        <f>Summary!C35</f>
        <v>400</v>
      </c>
      <c r="D43" t="s">
        <v>470</v>
      </c>
      <c r="I43" s="8"/>
    </row>
    <row r="44" spans="1:10">
      <c r="E44" t="s">
        <v>345</v>
      </c>
      <c r="F44" t="s">
        <v>65</v>
      </c>
      <c r="G44">
        <f>ROUNDUP(C19/C43,0)</f>
        <v>3</v>
      </c>
      <c r="H44" t="s">
        <v>67</v>
      </c>
      <c r="I44" s="3">
        <f>G44*SUM(I6,I8,I10,I12)</f>
        <v>3720</v>
      </c>
      <c r="J44" t="s">
        <v>58</v>
      </c>
    </row>
    <row r="45" spans="1:10">
      <c r="E45" t="s">
        <v>471</v>
      </c>
      <c r="I45" s="3">
        <f>I13</f>
        <v>400</v>
      </c>
      <c r="J45" t="s">
        <v>58</v>
      </c>
    </row>
    <row r="46" spans="1:10">
      <c r="E46" t="s">
        <v>69</v>
      </c>
      <c r="I46" s="3">
        <f>SUM(I44:I45)</f>
        <v>4120</v>
      </c>
      <c r="J46" t="s">
        <v>58</v>
      </c>
    </row>
    <row r="48" spans="1:10">
      <c r="C48" t="s">
        <v>70</v>
      </c>
      <c r="G48" s="8">
        <f>Summary!E35</f>
        <v>600</v>
      </c>
      <c r="H48" t="s">
        <v>211</v>
      </c>
      <c r="I48">
        <f>G48*G44</f>
        <v>1800</v>
      </c>
      <c r="J48" t="s">
        <v>212</v>
      </c>
    </row>
    <row r="49" spans="3:11">
      <c r="C49" t="s">
        <v>71</v>
      </c>
      <c r="I49" s="6">
        <f>(I48-I50)*0.365/I51</f>
        <v>9.0023745025012217E-2</v>
      </c>
      <c r="J49" s="4" t="s">
        <v>74</v>
      </c>
    </row>
    <row r="50" spans="3:11">
      <c r="C50" t="s">
        <v>72</v>
      </c>
      <c r="I50" s="8">
        <f>I57*1000/(30.4*(I54*(1-I55)-I56))</f>
        <v>81.972548514251244</v>
      </c>
      <c r="J50" t="s">
        <v>212</v>
      </c>
    </row>
    <row r="51" spans="3:11">
      <c r="C51" t="s">
        <v>75</v>
      </c>
      <c r="I51" s="8">
        <f>I21*I52</f>
        <v>6965.7179849390868</v>
      </c>
      <c r="J51" t="s">
        <v>135</v>
      </c>
    </row>
    <row r="52" spans="3:11">
      <c r="C52" t="s">
        <v>82</v>
      </c>
      <c r="I52" s="9">
        <f>Summary!H35</f>
        <v>0.75</v>
      </c>
      <c r="K52" t="s">
        <v>91</v>
      </c>
    </row>
    <row r="53" spans="3:11">
      <c r="C53" t="s">
        <v>100</v>
      </c>
      <c r="I53" s="8">
        <v>0</v>
      </c>
      <c r="J53" t="s">
        <v>328</v>
      </c>
      <c r="K53" t="s">
        <v>404</v>
      </c>
    </row>
    <row r="54" spans="3:11">
      <c r="C54" t="s">
        <v>355</v>
      </c>
      <c r="I54" s="2">
        <f>Prices!F14</f>
        <v>4.8718819288820665</v>
      </c>
      <c r="J54" s="4" t="s">
        <v>187</v>
      </c>
    </row>
    <row r="55" spans="3:11">
      <c r="C55" t="s">
        <v>354</v>
      </c>
      <c r="I55" s="66">
        <v>0.125</v>
      </c>
    </row>
    <row r="56" spans="3:11">
      <c r="C56" t="s">
        <v>185</v>
      </c>
      <c r="I56" s="2">
        <f>Summary!G57</f>
        <v>0.25</v>
      </c>
      <c r="J56" s="4" t="s">
        <v>111</v>
      </c>
    </row>
    <row r="57" spans="3:11">
      <c r="C57" t="s">
        <v>186</v>
      </c>
      <c r="I57" s="3">
        <f>Summary!F57</f>
        <v>10</v>
      </c>
      <c r="J57" s="4" t="s">
        <v>188</v>
      </c>
    </row>
    <row r="58" spans="3:11">
      <c r="C58" t="s">
        <v>334</v>
      </c>
      <c r="I58" s="3">
        <f>G44*I15</f>
        <v>450</v>
      </c>
      <c r="J58" s="4" t="s">
        <v>335</v>
      </c>
    </row>
    <row r="59" spans="3:11">
      <c r="C59" t="s">
        <v>192</v>
      </c>
      <c r="I59" s="3">
        <f>I16</f>
        <v>75</v>
      </c>
      <c r="J59" s="4" t="s">
        <v>335</v>
      </c>
    </row>
    <row r="60" spans="3:11">
      <c r="C60" t="s">
        <v>203</v>
      </c>
      <c r="I60" s="3">
        <f>'Cam gas hor'!C35</f>
        <v>6956.4484196476733</v>
      </c>
      <c r="J60" s="4" t="s">
        <v>58</v>
      </c>
    </row>
    <row r="61" spans="3:11">
      <c r="C61" t="s">
        <v>204</v>
      </c>
      <c r="I61" s="3">
        <f>'Cam gas hor'!C36</f>
        <v>5598.6523131084778</v>
      </c>
      <c r="J61" s="4" t="s">
        <v>58</v>
      </c>
    </row>
    <row r="62" spans="3:11">
      <c r="C62" t="s">
        <v>197</v>
      </c>
      <c r="I62" s="44">
        <f>'Cam gas hor'!C38</f>
        <v>0.47835309980839491</v>
      </c>
      <c r="J62" s="4"/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8" zoomScaleNormal="100" workbookViewId="0">
      <selection activeCell="A49" sqref="A49"/>
    </sheetView>
    <sheetView workbookViewId="1"/>
  </sheetViews>
  <sheetFormatPr defaultRowHeight="15"/>
  <cols>
    <col min="1" max="1" width="4.28515625" customWidth="1"/>
    <col min="2" max="2" width="13.7109375" customWidth="1"/>
    <col min="3" max="3" width="54.85546875" customWidth="1"/>
  </cols>
  <sheetData>
    <row r="1" spans="1:9">
      <c r="A1" s="109" t="s">
        <v>0</v>
      </c>
    </row>
    <row r="2" spans="1:9">
      <c r="A2" s="109" t="s">
        <v>356</v>
      </c>
    </row>
    <row r="3" spans="1:9">
      <c r="A3" s="109"/>
    </row>
    <row r="4" spans="1:9">
      <c r="A4" s="109" t="s">
        <v>359</v>
      </c>
    </row>
    <row r="5" spans="1:9">
      <c r="B5" s="108" t="s">
        <v>357</v>
      </c>
      <c r="C5" s="107"/>
      <c r="D5" s="106">
        <v>80</v>
      </c>
      <c r="E5" s="107" t="s">
        <v>61</v>
      </c>
    </row>
    <row r="6" spans="1:9">
      <c r="B6" s="108" t="s">
        <v>358</v>
      </c>
      <c r="C6" s="107"/>
      <c r="D6" s="106">
        <v>300</v>
      </c>
      <c r="E6" s="107" t="s">
        <v>61</v>
      </c>
    </row>
    <row r="7" spans="1:9">
      <c r="B7" s="108" t="s">
        <v>360</v>
      </c>
      <c r="C7" s="107"/>
      <c r="D7" s="106">
        <v>20</v>
      </c>
      <c r="E7" s="107" t="s">
        <v>61</v>
      </c>
    </row>
    <row r="8" spans="1:9">
      <c r="B8" s="108" t="s">
        <v>361</v>
      </c>
      <c r="C8" s="107"/>
      <c r="D8" s="106">
        <v>50</v>
      </c>
      <c r="E8" s="107" t="s">
        <v>61</v>
      </c>
    </row>
    <row r="9" spans="1:9">
      <c r="B9" s="108" t="s">
        <v>362</v>
      </c>
      <c r="C9" s="107"/>
      <c r="D9" s="106">
        <v>10</v>
      </c>
      <c r="E9" s="107" t="s">
        <v>61</v>
      </c>
    </row>
    <row r="10" spans="1:9">
      <c r="B10" s="108" t="s">
        <v>363</v>
      </c>
      <c r="C10" s="107"/>
      <c r="D10" s="106">
        <v>30</v>
      </c>
      <c r="E10" s="107" t="s">
        <v>61</v>
      </c>
    </row>
    <row r="11" spans="1:9">
      <c r="B11" s="108" t="s">
        <v>364</v>
      </c>
      <c r="C11" s="107"/>
      <c r="D11" s="106">
        <v>8</v>
      </c>
      <c r="E11" s="107" t="s">
        <v>61</v>
      </c>
    </row>
    <row r="12" spans="1:9">
      <c r="B12" s="108" t="s">
        <v>365</v>
      </c>
      <c r="C12" s="107"/>
      <c r="D12" s="106">
        <v>10</v>
      </c>
      <c r="E12" s="107" t="s">
        <v>61</v>
      </c>
    </row>
    <row r="13" spans="1:9">
      <c r="B13" s="108" t="s">
        <v>366</v>
      </c>
      <c r="C13" s="107"/>
      <c r="D13" s="106">
        <v>500</v>
      </c>
      <c r="E13" s="107" t="s">
        <v>367</v>
      </c>
    </row>
    <row r="14" spans="1:9">
      <c r="B14" s="108" t="s">
        <v>191</v>
      </c>
      <c r="C14" s="107"/>
      <c r="D14" s="106">
        <v>3</v>
      </c>
      <c r="E14" s="107" t="s">
        <v>61</v>
      </c>
      <c r="I14" s="3"/>
    </row>
    <row r="15" spans="1:9">
      <c r="B15" s="108" t="s">
        <v>199</v>
      </c>
      <c r="C15" s="107"/>
      <c r="D15" s="106">
        <v>30</v>
      </c>
      <c r="E15" s="107" t="s">
        <v>61</v>
      </c>
      <c r="I15" s="3"/>
    </row>
    <row r="16" spans="1:9">
      <c r="B16" s="108" t="s">
        <v>192</v>
      </c>
      <c r="C16" s="107"/>
      <c r="D16" s="106">
        <v>50</v>
      </c>
      <c r="E16" s="107" t="s">
        <v>58</v>
      </c>
      <c r="I16" s="3"/>
    </row>
    <row r="18" spans="1:5">
      <c r="A18" s="109" t="s">
        <v>474</v>
      </c>
    </row>
    <row r="19" spans="1:5">
      <c r="B19" s="108" t="s">
        <v>475</v>
      </c>
      <c r="C19" s="107"/>
      <c r="D19" s="106">
        <v>200</v>
      </c>
      <c r="E19" s="107" t="s">
        <v>61</v>
      </c>
    </row>
    <row r="20" spans="1:5">
      <c r="B20" s="108" t="s">
        <v>476</v>
      </c>
      <c r="C20" s="107"/>
      <c r="D20" s="106">
        <v>400</v>
      </c>
      <c r="E20" s="107" t="s">
        <v>61</v>
      </c>
    </row>
    <row r="21" spans="1:5">
      <c r="B21" s="108" t="s">
        <v>368</v>
      </c>
      <c r="C21" s="107"/>
      <c r="D21" s="106">
        <v>50</v>
      </c>
      <c r="E21" s="107" t="s">
        <v>61</v>
      </c>
    </row>
    <row r="22" spans="1:5">
      <c r="B22" s="108" t="s">
        <v>477</v>
      </c>
      <c r="C22" s="107"/>
      <c r="D22" s="106">
        <v>100</v>
      </c>
      <c r="E22" s="107" t="s">
        <v>61</v>
      </c>
    </row>
    <row r="23" spans="1:5">
      <c r="B23" s="108" t="s">
        <v>369</v>
      </c>
      <c r="C23" s="107"/>
      <c r="D23" s="106">
        <v>150</v>
      </c>
      <c r="E23" s="107" t="s">
        <v>61</v>
      </c>
    </row>
    <row r="24" spans="1:5">
      <c r="B24" s="108" t="s">
        <v>478</v>
      </c>
      <c r="C24" s="107"/>
      <c r="D24" s="106">
        <v>200</v>
      </c>
      <c r="E24" s="107" t="s">
        <v>61</v>
      </c>
    </row>
    <row r="25" spans="1:5">
      <c r="B25" s="108" t="s">
        <v>479</v>
      </c>
      <c r="C25" s="107"/>
      <c r="D25" s="106">
        <v>10</v>
      </c>
      <c r="E25" s="107" t="s">
        <v>61</v>
      </c>
    </row>
    <row r="26" spans="1:5">
      <c r="B26" s="108" t="s">
        <v>370</v>
      </c>
      <c r="C26" s="107"/>
      <c r="D26" s="106">
        <v>30</v>
      </c>
      <c r="E26" s="107" t="s">
        <v>61</v>
      </c>
    </row>
    <row r="27" spans="1:5">
      <c r="B27" s="108" t="s">
        <v>480</v>
      </c>
      <c r="C27" s="107"/>
      <c r="D27" s="106">
        <v>30</v>
      </c>
      <c r="E27" s="107" t="s">
        <v>61</v>
      </c>
    </row>
    <row r="28" spans="1:5">
      <c r="B28" s="108" t="s">
        <v>372</v>
      </c>
      <c r="C28" s="107"/>
      <c r="D28" s="106">
        <v>50</v>
      </c>
      <c r="E28" s="107" t="s">
        <v>61</v>
      </c>
    </row>
    <row r="29" spans="1:5">
      <c r="B29" s="108" t="s">
        <v>364</v>
      </c>
      <c r="C29" s="107"/>
      <c r="D29" s="106">
        <v>8</v>
      </c>
      <c r="E29" s="107" t="s">
        <v>61</v>
      </c>
    </row>
    <row r="30" spans="1:5">
      <c r="B30" s="108" t="s">
        <v>365</v>
      </c>
      <c r="C30" s="107"/>
      <c r="D30" s="106">
        <v>10</v>
      </c>
      <c r="E30" s="107" t="s">
        <v>61</v>
      </c>
    </row>
    <row r="31" spans="1:5">
      <c r="B31" s="108" t="s">
        <v>366</v>
      </c>
      <c r="C31" s="107"/>
      <c r="D31" s="106">
        <v>500</v>
      </c>
      <c r="E31" s="107" t="s">
        <v>367</v>
      </c>
    </row>
    <row r="32" spans="1:5">
      <c r="B32" s="108" t="s">
        <v>371</v>
      </c>
      <c r="C32" s="107"/>
      <c r="D32" s="106">
        <v>400</v>
      </c>
      <c r="E32" s="107" t="s">
        <v>58</v>
      </c>
    </row>
    <row r="33" spans="1:5">
      <c r="B33" s="108" t="s">
        <v>374</v>
      </c>
      <c r="C33" s="107"/>
      <c r="D33" s="106">
        <v>10</v>
      </c>
      <c r="E33" s="107" t="s">
        <v>61</v>
      </c>
    </row>
    <row r="34" spans="1:5">
      <c r="B34" s="108" t="s">
        <v>375</v>
      </c>
      <c r="C34" s="107"/>
      <c r="D34" s="106">
        <v>60</v>
      </c>
      <c r="E34" s="107" t="s">
        <v>61</v>
      </c>
    </row>
    <row r="35" spans="1:5">
      <c r="B35" s="108" t="s">
        <v>376</v>
      </c>
      <c r="C35" s="107"/>
      <c r="D35" s="106">
        <v>20</v>
      </c>
      <c r="E35" s="107" t="s">
        <v>61</v>
      </c>
    </row>
    <row r="36" spans="1:5">
      <c r="B36" s="108" t="s">
        <v>377</v>
      </c>
      <c r="C36" s="107"/>
      <c r="D36" s="106">
        <v>150</v>
      </c>
      <c r="E36" s="107" t="s">
        <v>61</v>
      </c>
    </row>
    <row r="37" spans="1:5">
      <c r="B37" s="108" t="s">
        <v>192</v>
      </c>
      <c r="C37" s="107"/>
      <c r="D37" s="106">
        <v>150</v>
      </c>
      <c r="E37" s="107" t="s">
        <v>58</v>
      </c>
    </row>
    <row r="38" spans="1:5">
      <c r="B38" s="108" t="s">
        <v>387</v>
      </c>
      <c r="C38" s="107"/>
      <c r="D38" s="106">
        <v>75</v>
      </c>
      <c r="E38" s="107" t="s">
        <v>58</v>
      </c>
    </row>
    <row r="40" spans="1:5">
      <c r="A40" s="109" t="s">
        <v>378</v>
      </c>
    </row>
    <row r="41" spans="1:5">
      <c r="B41" s="108" t="s">
        <v>379</v>
      </c>
      <c r="C41" s="107"/>
      <c r="D41" s="106">
        <v>400</v>
      </c>
      <c r="E41" s="107" t="s">
        <v>61</v>
      </c>
    </row>
    <row r="42" spans="1:5">
      <c r="B42" s="108" t="s">
        <v>380</v>
      </c>
      <c r="C42" s="107"/>
      <c r="D42" s="106">
        <v>900</v>
      </c>
      <c r="E42" s="107" t="s">
        <v>61</v>
      </c>
    </row>
    <row r="43" spans="1:5">
      <c r="B43" s="108" t="s">
        <v>381</v>
      </c>
      <c r="C43" s="107"/>
      <c r="D43" s="106">
        <v>100</v>
      </c>
      <c r="E43" s="107" t="s">
        <v>61</v>
      </c>
    </row>
    <row r="44" spans="1:5">
      <c r="B44" s="108" t="s">
        <v>382</v>
      </c>
      <c r="C44" s="107"/>
      <c r="D44" s="106">
        <v>200</v>
      </c>
      <c r="E44" s="107" t="s">
        <v>61</v>
      </c>
    </row>
    <row r="45" spans="1:5">
      <c r="B45" s="108" t="s">
        <v>383</v>
      </c>
      <c r="C45" s="107"/>
      <c r="D45" s="106">
        <v>30</v>
      </c>
      <c r="E45" s="107" t="s">
        <v>61</v>
      </c>
    </row>
    <row r="46" spans="1:5">
      <c r="B46" s="108" t="s">
        <v>384</v>
      </c>
      <c r="C46" s="107"/>
      <c r="D46" s="106">
        <v>75</v>
      </c>
      <c r="E46" s="107" t="s">
        <v>61</v>
      </c>
    </row>
    <row r="47" spans="1:5">
      <c r="B47" s="108" t="s">
        <v>385</v>
      </c>
      <c r="C47" s="107"/>
      <c r="D47" s="106">
        <v>40</v>
      </c>
      <c r="E47" s="107" t="s">
        <v>61</v>
      </c>
    </row>
    <row r="48" spans="1:5">
      <c r="B48" s="108" t="s">
        <v>386</v>
      </c>
      <c r="C48" s="107"/>
      <c r="D48" s="106">
        <v>100</v>
      </c>
      <c r="E48" s="107" t="s">
        <v>61</v>
      </c>
    </row>
    <row r="49" spans="1:5">
      <c r="B49" s="108" t="s">
        <v>365</v>
      </c>
      <c r="C49" s="107"/>
      <c r="D49" s="106">
        <v>100</v>
      </c>
      <c r="E49" s="107" t="s">
        <v>61</v>
      </c>
    </row>
    <row r="50" spans="1:5">
      <c r="B50" s="108" t="s">
        <v>366</v>
      </c>
      <c r="C50" s="107"/>
      <c r="D50" s="106">
        <v>500</v>
      </c>
      <c r="E50" s="107" t="s">
        <v>367</v>
      </c>
    </row>
    <row r="51" spans="1:5">
      <c r="B51" s="108" t="s">
        <v>371</v>
      </c>
      <c r="C51" s="107"/>
      <c r="D51" s="106">
        <v>400</v>
      </c>
      <c r="E51" s="107" t="s">
        <v>58</v>
      </c>
    </row>
    <row r="52" spans="1:5">
      <c r="B52" s="108" t="s">
        <v>374</v>
      </c>
      <c r="C52" s="107"/>
      <c r="D52" s="106">
        <v>60</v>
      </c>
      <c r="E52" s="107" t="s">
        <v>61</v>
      </c>
    </row>
    <row r="53" spans="1:5">
      <c r="B53" s="108" t="s">
        <v>375</v>
      </c>
      <c r="C53" s="107"/>
      <c r="D53" s="106">
        <v>60</v>
      </c>
      <c r="E53" s="107" t="s">
        <v>61</v>
      </c>
    </row>
    <row r="54" spans="1:5">
      <c r="B54" s="108" t="s">
        <v>376</v>
      </c>
      <c r="C54" s="107"/>
      <c r="D54" s="106">
        <v>150</v>
      </c>
      <c r="E54" s="107" t="s">
        <v>61</v>
      </c>
    </row>
    <row r="55" spans="1:5">
      <c r="B55" s="108" t="s">
        <v>377</v>
      </c>
      <c r="C55" s="107"/>
      <c r="D55" s="106">
        <v>150</v>
      </c>
      <c r="E55" s="107" t="s">
        <v>61</v>
      </c>
    </row>
    <row r="56" spans="1:5">
      <c r="B56" s="108" t="s">
        <v>192</v>
      </c>
      <c r="C56" s="107"/>
      <c r="D56" s="106">
        <v>150</v>
      </c>
      <c r="E56" s="107" t="s">
        <v>58</v>
      </c>
    </row>
    <row r="57" spans="1:5">
      <c r="B57" s="108" t="s">
        <v>387</v>
      </c>
      <c r="C57" s="107"/>
      <c r="D57" s="106">
        <v>75</v>
      </c>
      <c r="E57" s="107" t="s">
        <v>58</v>
      </c>
    </row>
    <row r="59" spans="1:5">
      <c r="A59" s="109" t="s">
        <v>388</v>
      </c>
    </row>
    <row r="60" spans="1:5">
      <c r="B60" s="108" t="s">
        <v>389</v>
      </c>
      <c r="C60" s="107"/>
      <c r="D60" s="106">
        <v>400</v>
      </c>
      <c r="E60" s="107" t="s">
        <v>61</v>
      </c>
    </row>
    <row r="61" spans="1:5">
      <c r="B61" s="108" t="s">
        <v>390</v>
      </c>
      <c r="C61" s="107"/>
      <c r="D61" s="106">
        <v>900</v>
      </c>
      <c r="E61" s="107" t="s">
        <v>61</v>
      </c>
    </row>
    <row r="62" spans="1:5">
      <c r="B62" s="108" t="s">
        <v>391</v>
      </c>
      <c r="C62" s="107"/>
      <c r="D62" s="106">
        <v>100</v>
      </c>
      <c r="E62" s="107" t="s">
        <v>61</v>
      </c>
    </row>
    <row r="63" spans="1:5">
      <c r="B63" s="108" t="s">
        <v>392</v>
      </c>
      <c r="C63" s="107"/>
      <c r="D63" s="106">
        <v>200</v>
      </c>
      <c r="E63" s="107" t="s">
        <v>61</v>
      </c>
    </row>
    <row r="64" spans="1:5">
      <c r="B64" s="108" t="s">
        <v>393</v>
      </c>
      <c r="C64" s="107"/>
      <c r="D64" s="106">
        <v>30</v>
      </c>
      <c r="E64" s="107" t="s">
        <v>61</v>
      </c>
    </row>
    <row r="65" spans="2:5">
      <c r="B65" s="108" t="s">
        <v>394</v>
      </c>
      <c r="C65" s="107"/>
      <c r="D65" s="106">
        <v>75</v>
      </c>
      <c r="E65" s="107" t="s">
        <v>61</v>
      </c>
    </row>
    <row r="66" spans="2:5">
      <c r="B66" s="108" t="s">
        <v>395</v>
      </c>
      <c r="C66" s="107"/>
      <c r="D66" s="106">
        <v>40</v>
      </c>
      <c r="E66" s="107" t="s">
        <v>61</v>
      </c>
    </row>
    <row r="67" spans="2:5">
      <c r="B67" s="108" t="s">
        <v>396</v>
      </c>
      <c r="C67" s="107"/>
      <c r="D67" s="106">
        <v>100</v>
      </c>
      <c r="E67" s="107" t="s">
        <v>61</v>
      </c>
    </row>
    <row r="68" spans="2:5">
      <c r="B68" s="108" t="s">
        <v>397</v>
      </c>
      <c r="C68" s="107"/>
      <c r="D68" s="106">
        <v>75</v>
      </c>
      <c r="E68" s="107" t="s">
        <v>61</v>
      </c>
    </row>
    <row r="69" spans="2:5">
      <c r="B69" s="108" t="s">
        <v>365</v>
      </c>
      <c r="C69" s="107"/>
      <c r="D69" s="106">
        <v>100</v>
      </c>
      <c r="E69" s="107" t="s">
        <v>61</v>
      </c>
    </row>
    <row r="70" spans="2:5">
      <c r="B70" s="108" t="s">
        <v>513</v>
      </c>
      <c r="C70" s="107"/>
      <c r="D70" s="106">
        <v>700</v>
      </c>
      <c r="E70" s="107" t="s">
        <v>367</v>
      </c>
    </row>
    <row r="71" spans="2:5">
      <c r="B71" s="108" t="s">
        <v>371</v>
      </c>
      <c r="C71" s="107"/>
      <c r="D71" s="106">
        <v>400</v>
      </c>
      <c r="E71" s="107" t="s">
        <v>58</v>
      </c>
    </row>
    <row r="72" spans="2:5">
      <c r="B72" s="108" t="s">
        <v>374</v>
      </c>
      <c r="C72" s="107"/>
      <c r="D72" s="106">
        <v>60</v>
      </c>
      <c r="E72" s="107" t="s">
        <v>61</v>
      </c>
    </row>
    <row r="73" spans="2:5">
      <c r="B73" s="108" t="s">
        <v>375</v>
      </c>
      <c r="C73" s="107"/>
      <c r="D73" s="106">
        <v>60</v>
      </c>
      <c r="E73" s="107" t="s">
        <v>61</v>
      </c>
    </row>
    <row r="74" spans="2:5">
      <c r="B74" s="108" t="s">
        <v>376</v>
      </c>
      <c r="C74" s="107"/>
      <c r="D74" s="106">
        <v>150</v>
      </c>
      <c r="E74" s="107" t="s">
        <v>61</v>
      </c>
    </row>
    <row r="75" spans="2:5">
      <c r="B75" s="108" t="s">
        <v>377</v>
      </c>
      <c r="C75" s="107"/>
      <c r="D75" s="106">
        <v>150</v>
      </c>
      <c r="E75" s="107" t="s">
        <v>61</v>
      </c>
    </row>
    <row r="76" spans="2:5">
      <c r="B76" s="108" t="s">
        <v>192</v>
      </c>
      <c r="C76" s="107"/>
      <c r="D76" s="106">
        <v>150</v>
      </c>
      <c r="E76" s="107" t="s">
        <v>58</v>
      </c>
    </row>
    <row r="77" spans="2:5">
      <c r="B77" s="108" t="s">
        <v>387</v>
      </c>
      <c r="C77" s="107"/>
      <c r="D77" s="106">
        <v>75</v>
      </c>
      <c r="E77" s="107" t="s">
        <v>58</v>
      </c>
    </row>
  </sheetData>
  <pageMargins left="0.70866141732283472" right="0.70866141732283472" top="0.74803149606299213" bottom="0.74803149606299213" header="0.31496062992125984" footer="0.31496062992125984"/>
  <pageSetup scale="98" orientation="portrait" r:id="rId1"/>
  <rowBreaks count="1" manualBreakCount="1">
    <brk id="3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0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469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12">
        <f>'Cam Gas'!I27</f>
        <v>1650</v>
      </c>
      <c r="F4" s="14" t="s">
        <v>212</v>
      </c>
      <c r="G4" s="15"/>
    </row>
    <row r="5" spans="1:21" ht="15.75">
      <c r="A5" s="14" t="s">
        <v>184</v>
      </c>
      <c r="B5" s="14"/>
      <c r="E5" s="26">
        <f>'Cam Gas'!I28</f>
        <v>8.8032667532277439E-2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'Cam Gas'!I29</f>
        <v>81.972548514251244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'Cam Gas'!G23</f>
        <v>11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'Cam Gas'!I36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41">
        <f>'Cam Gas'!I35</f>
        <v>0.25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'Cam Gas'!I25</f>
        <v>7330</v>
      </c>
      <c r="F24" s="12" t="s">
        <v>195</v>
      </c>
    </row>
    <row r="25" spans="1:21">
      <c r="B25" s="12" t="s">
        <v>193</v>
      </c>
      <c r="E25" s="42">
        <f>'Cam Gas'!I37+'Cam Gas'!I38</f>
        <v>735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18421.047446620469</v>
      </c>
      <c r="D32" s="12" t="s">
        <v>58</v>
      </c>
      <c r="E32" s="84">
        <f>C32/E$24</f>
        <v>2.5131033351460395</v>
      </c>
    </row>
    <row r="33" spans="1:19">
      <c r="A33" s="26">
        <v>0.05</v>
      </c>
      <c r="B33" s="12" t="s">
        <v>128</v>
      </c>
      <c r="C33" s="29">
        <f t="shared" ref="C33:C37" si="0">NPV(A33,N$92:N$107)</f>
        <v>9527.2925172931609</v>
      </c>
      <c r="D33" s="12" t="s">
        <v>58</v>
      </c>
      <c r="E33" s="84">
        <f t="shared" ref="E33:E37" si="1">C33/E$24</f>
        <v>1.2997670555652334</v>
      </c>
    </row>
    <row r="34" spans="1:19">
      <c r="A34" s="26">
        <v>0.1</v>
      </c>
      <c r="B34" s="12" t="s">
        <v>128</v>
      </c>
      <c r="C34" s="29">
        <f t="shared" si="0"/>
        <v>4766.6547549781253</v>
      </c>
      <c r="D34" s="12" t="s">
        <v>58</v>
      </c>
      <c r="E34" s="84">
        <f t="shared" si="1"/>
        <v>0.650293963844219</v>
      </c>
    </row>
    <row r="35" spans="1:19">
      <c r="A35" s="26">
        <v>0.125</v>
      </c>
      <c r="B35" s="12" t="s">
        <v>128</v>
      </c>
      <c r="C35" s="29">
        <f t="shared" si="0"/>
        <v>3229.793774162204</v>
      </c>
      <c r="D35" s="12" t="s">
        <v>58</v>
      </c>
      <c r="E35" s="84">
        <f t="shared" si="1"/>
        <v>0.44062670861694464</v>
      </c>
      <c r="F35" s="14"/>
    </row>
    <row r="36" spans="1:19">
      <c r="A36" s="26">
        <v>0.15</v>
      </c>
      <c r="B36" s="12" t="s">
        <v>128</v>
      </c>
      <c r="C36" s="29">
        <f t="shared" si="0"/>
        <v>2050.4888397681948</v>
      </c>
      <c r="D36" s="12" t="s">
        <v>58</v>
      </c>
      <c r="E36" s="84">
        <f t="shared" si="1"/>
        <v>0.27973926872690241</v>
      </c>
      <c r="F36" s="14"/>
    </row>
    <row r="37" spans="1:19">
      <c r="A37" s="26">
        <v>0.2</v>
      </c>
      <c r="B37" s="12" t="s">
        <v>128</v>
      </c>
      <c r="C37" s="29">
        <f t="shared" si="0"/>
        <v>411.12623985978962</v>
      </c>
      <c r="D37" s="12" t="s">
        <v>58</v>
      </c>
      <c r="E37" s="84">
        <f t="shared" si="1"/>
        <v>5.6088163691649331E-2</v>
      </c>
      <c r="F37" s="14"/>
    </row>
    <row r="38" spans="1:19">
      <c r="A38" s="12" t="s">
        <v>197</v>
      </c>
      <c r="C38" s="25">
        <f>IF(SUM(N92:N107)&lt;0,0,IRR(N92:N107))</f>
        <v>0.2172915530350874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6501.3367859431473</v>
      </c>
      <c r="I41" s="14" t="s">
        <v>135</v>
      </c>
      <c r="J41" s="33">
        <f>C107</f>
        <v>0</v>
      </c>
      <c r="K41" s="14" t="s">
        <v>136</v>
      </c>
      <c r="L41" s="33">
        <f>F41+H41/E$42+J41</f>
        <v>1083.5561309905245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1650</v>
      </c>
      <c r="F50" s="18">
        <f>E50*E$11</f>
        <v>1650</v>
      </c>
      <c r="G50" s="35">
        <f>F50*(1-$E$27)</f>
        <v>1443.75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1510.9560865805286</v>
      </c>
      <c r="F51" s="18">
        <f t="shared" ref="F51:F64" si="7">E51*E$11</f>
        <v>1510.9560865805286</v>
      </c>
      <c r="G51" s="35">
        <f t="shared" ref="G51:G64" si="8">F51*(1-$E$27)</f>
        <v>1322.0865757579625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1383.6292700453007</v>
      </c>
      <c r="F52" s="18">
        <f t="shared" si="7"/>
        <v>1383.6292700453007</v>
      </c>
      <c r="G52" s="35">
        <f t="shared" si="8"/>
        <v>1210.675611289638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1267.0321619066185</v>
      </c>
      <c r="F53" s="18">
        <f t="shared" si="7"/>
        <v>1267.0321619066185</v>
      </c>
      <c r="G53" s="35">
        <f t="shared" si="8"/>
        <v>1108.6531416682913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1159.9807757978431</v>
      </c>
      <c r="F54" s="18">
        <f t="shared" si="7"/>
        <v>1159.9807757978431</v>
      </c>
      <c r="G54" s="35">
        <f t="shared" si="8"/>
        <v>1014.9831788231127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1062.2303112170634</v>
      </c>
      <c r="F55" s="18">
        <f t="shared" si="7"/>
        <v>1062.2303112170634</v>
      </c>
      <c r="G55" s="35">
        <f t="shared" si="8"/>
        <v>929.45152231493057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972.7171842931823</v>
      </c>
      <c r="F56" s="18">
        <f t="shared" si="7"/>
        <v>972.7171842931823</v>
      </c>
      <c r="G56" s="35">
        <f t="shared" si="8"/>
        <v>851.12753625653454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890.74724250258055</v>
      </c>
      <c r="F57" s="18">
        <f t="shared" si="7"/>
        <v>890.74724250258055</v>
      </c>
      <c r="G57" s="35">
        <f t="shared" si="8"/>
        <v>779.40383718975795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815.48812134579737</v>
      </c>
      <c r="F58" s="18">
        <f t="shared" si="7"/>
        <v>815.48812134579737</v>
      </c>
      <c r="G58" s="35">
        <f t="shared" si="8"/>
        <v>713.55210617757268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746.76772150397176</v>
      </c>
      <c r="F59" s="18">
        <f t="shared" si="7"/>
        <v>746.76772150397176</v>
      </c>
      <c r="G59" s="35">
        <f t="shared" si="8"/>
        <v>653.42175631597524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683.8383236777571</v>
      </c>
      <c r="F60" s="18">
        <f t="shared" si="7"/>
        <v>683.8383236777571</v>
      </c>
      <c r="G60" s="35">
        <f t="shared" si="8"/>
        <v>598.35853321803745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626.2119256957169</v>
      </c>
      <c r="F61" s="18">
        <f t="shared" si="7"/>
        <v>626.2119256957169</v>
      </c>
      <c r="G61" s="35">
        <f t="shared" si="8"/>
        <v>547.93543498375232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573.30335978946891</v>
      </c>
      <c r="F62" s="18">
        <f t="shared" si="7"/>
        <v>573.30335978946891</v>
      </c>
      <c r="G62" s="35">
        <f t="shared" si="8"/>
        <v>501.64043981578527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524.99163692785748</v>
      </c>
      <c r="F63" s="18">
        <f t="shared" si="7"/>
        <v>524.99163692785748</v>
      </c>
      <c r="G63" s="35">
        <f t="shared" si="8"/>
        <v>459.36768231187528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480.75109649698248</v>
      </c>
      <c r="F64" s="18">
        <f t="shared" si="7"/>
        <v>480.75109649698248</v>
      </c>
      <c r="G64" s="35">
        <f t="shared" si="8"/>
        <v>420.65720943485968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11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576.5022215133838</v>
      </c>
      <c r="J71" s="39">
        <f>IF(E51=0,0,IF(E$6=1,(E$4)/(E$5/365)*LN((E$4)/E51)/1000,(E$4)^E$6*((E$4)^(1-E$6)-E51^(1-E$6))/((1-E$6)*E$5/365)/1000))</f>
        <v>576.5022215133838</v>
      </c>
      <c r="K71" s="15">
        <f>I71*E$11</f>
        <v>576.5022215133838</v>
      </c>
      <c r="L71" s="39">
        <f>J71*E$11</f>
        <v>576.5022215133838</v>
      </c>
      <c r="M71" s="15">
        <f t="shared" ref="M71:M85" si="14">IF(K71=0,0,(H93-I93)/H93*K71)</f>
        <v>504.4394438242108</v>
      </c>
      <c r="N71" s="15">
        <f>M71</f>
        <v>504.4394438242108</v>
      </c>
    </row>
    <row r="72" spans="1:14">
      <c r="A72" s="38">
        <f t="shared" si="10"/>
        <v>43101</v>
      </c>
      <c r="B72" s="15">
        <f>IF(E52=0,0,B71)</f>
        <v>11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527.92093365020696</v>
      </c>
      <c r="J72" s="39">
        <f>IF(E52=0,J71,IF(E$6=1,(E$4)/(E$5/365)*LN((E$4)/E52)/1000,(E$4)^E$6*((E$4)^(1-E$6)-E52^(1-E$6))/((1-E$6)*E$5/365)/1000))</f>
        <v>1104.4231551635908</v>
      </c>
      <c r="K72" s="15">
        <f t="shared" ref="K72:K85" si="18">I72*E$11</f>
        <v>527.92093365020696</v>
      </c>
      <c r="L72" s="39">
        <f t="shared" ref="L72:L85" si="19">J72*E$11</f>
        <v>1104.4231551635908</v>
      </c>
      <c r="M72" s="15">
        <f t="shared" si="14"/>
        <v>461.93081694393106</v>
      </c>
      <c r="N72" s="15">
        <f t="shared" ref="N72:N85" si="20">M72+N71</f>
        <v>966.37026076814186</v>
      </c>
    </row>
    <row r="73" spans="1:14">
      <c r="A73" s="38">
        <f t="shared" si="10"/>
        <v>43466</v>
      </c>
      <c r="B73" s="15">
        <f t="shared" ref="B73:B84" si="21">IF(E53=0,0,B72)</f>
        <v>11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483.43354420124797</v>
      </c>
      <c r="J73" s="39">
        <f t="shared" ref="J73:J84" si="23">IF(E53=0,J72,IF(E$6=1,(E$4)/(E$5/365)*LN((E$4)/E53)/1000,(E$4)^E$6*((E$4)^(1-E$6)-E53^(1-E$6))/((1-E$6)*E$5/365)/1000))</f>
        <v>1587.8566993648387</v>
      </c>
      <c r="K73" s="15">
        <f t="shared" si="18"/>
        <v>483.43354420124797</v>
      </c>
      <c r="L73" s="39">
        <f t="shared" si="19"/>
        <v>1587.8566993648387</v>
      </c>
      <c r="M73" s="15">
        <f t="shared" si="14"/>
        <v>423.00435117609197</v>
      </c>
      <c r="N73" s="15">
        <f t="shared" si="20"/>
        <v>1389.3746119442339</v>
      </c>
    </row>
    <row r="74" spans="1:14">
      <c r="A74" s="38">
        <f t="shared" si="10"/>
        <v>43831</v>
      </c>
      <c r="B74" s="15">
        <f t="shared" si="21"/>
        <v>11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443.85518495593146</v>
      </c>
      <c r="J74" s="39">
        <f t="shared" si="23"/>
        <v>2031.7118843207702</v>
      </c>
      <c r="K74" s="15">
        <f t="shared" si="18"/>
        <v>443.85518495593146</v>
      </c>
      <c r="L74" s="39">
        <f t="shared" si="19"/>
        <v>2031.7118843207702</v>
      </c>
      <c r="M74" s="15">
        <f t="shared" si="14"/>
        <v>388.37328683644</v>
      </c>
      <c r="N74" s="15">
        <f t="shared" si="20"/>
        <v>1777.7478987806739</v>
      </c>
    </row>
    <row r="75" spans="1:14">
      <c r="A75" s="38">
        <f t="shared" si="10"/>
        <v>44197</v>
      </c>
      <c r="B75" s="15">
        <f t="shared" si="21"/>
        <v>11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405.29181464259023</v>
      </c>
      <c r="J75" s="39">
        <f t="shared" si="23"/>
        <v>2437.0036989633604</v>
      </c>
      <c r="K75" s="15">
        <f t="shared" si="18"/>
        <v>405.29181464259023</v>
      </c>
      <c r="L75" s="39">
        <f t="shared" si="19"/>
        <v>2437.0036989633604</v>
      </c>
      <c r="M75" s="15">
        <f t="shared" si="14"/>
        <v>354.63033781226648</v>
      </c>
      <c r="N75" s="15">
        <f t="shared" si="20"/>
        <v>2132.3782365929405</v>
      </c>
    </row>
    <row r="76" spans="1:14">
      <c r="A76" s="38">
        <f t="shared" si="10"/>
        <v>44562</v>
      </c>
      <c r="B76" s="15">
        <f t="shared" si="21"/>
        <v>11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371.13826313666141</v>
      </c>
      <c r="J76" s="39">
        <f t="shared" si="23"/>
        <v>2808.1419621000218</v>
      </c>
      <c r="K76" s="15">
        <f t="shared" si="18"/>
        <v>371.13826313666141</v>
      </c>
      <c r="L76" s="39">
        <f t="shared" si="19"/>
        <v>2808.1419621000218</v>
      </c>
      <c r="M76" s="15">
        <f t="shared" si="14"/>
        <v>324.74598024457873</v>
      </c>
      <c r="N76" s="15">
        <f t="shared" si="20"/>
        <v>2457.1242168375193</v>
      </c>
    </row>
    <row r="77" spans="1:14">
      <c r="A77" s="38">
        <f t="shared" si="10"/>
        <v>44927</v>
      </c>
      <c r="B77" s="15">
        <f t="shared" si="21"/>
        <v>11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339.86279857531008</v>
      </c>
      <c r="J77" s="39">
        <f t="shared" si="23"/>
        <v>3148.0047606753319</v>
      </c>
      <c r="K77" s="15">
        <f t="shared" si="18"/>
        <v>339.86279857531008</v>
      </c>
      <c r="L77" s="39">
        <f t="shared" si="19"/>
        <v>3148.0047606753319</v>
      </c>
      <c r="M77" s="15">
        <f t="shared" si="14"/>
        <v>297.37994875339632</v>
      </c>
      <c r="N77" s="15">
        <f t="shared" si="20"/>
        <v>2754.5041655909154</v>
      </c>
    </row>
    <row r="78" spans="1:14">
      <c r="A78" s="38">
        <f t="shared" si="10"/>
        <v>45292</v>
      </c>
      <c r="B78" s="15">
        <f t="shared" si="21"/>
        <v>11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312.03847381035075</v>
      </c>
      <c r="J78" s="39">
        <f t="shared" si="23"/>
        <v>3460.0432344856827</v>
      </c>
      <c r="K78" s="15">
        <f t="shared" si="18"/>
        <v>312.03847381035075</v>
      </c>
      <c r="L78" s="39">
        <f t="shared" si="19"/>
        <v>3460.0432344856827</v>
      </c>
      <c r="M78" s="15">
        <f t="shared" si="14"/>
        <v>273.03366458405691</v>
      </c>
      <c r="N78" s="15">
        <f t="shared" si="20"/>
        <v>3027.5378301749724</v>
      </c>
    </row>
    <row r="79" spans="1:14">
      <c r="A79" s="38">
        <f t="shared" si="10"/>
        <v>45658</v>
      </c>
      <c r="B79" s="15">
        <f t="shared" si="21"/>
        <v>11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284.92770519613759</v>
      </c>
      <c r="J79" s="39">
        <f t="shared" si="23"/>
        <v>3744.9709396818203</v>
      </c>
      <c r="K79" s="15">
        <f t="shared" si="18"/>
        <v>284.92770519613759</v>
      </c>
      <c r="L79" s="39">
        <f t="shared" si="19"/>
        <v>3744.9709396818203</v>
      </c>
      <c r="M79" s="15">
        <f t="shared" si="14"/>
        <v>249.3117420466204</v>
      </c>
      <c r="N79" s="15">
        <f t="shared" si="20"/>
        <v>3276.849572221593</v>
      </c>
    </row>
    <row r="80" spans="1:14">
      <c r="A80" s="38">
        <f t="shared" si="10"/>
        <v>46023</v>
      </c>
      <c r="B80" s="15">
        <f t="shared" si="21"/>
        <v>11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260.91712145547126</v>
      </c>
      <c r="J80" s="39">
        <f t="shared" si="23"/>
        <v>4005.8880611372915</v>
      </c>
      <c r="K80" s="15">
        <f t="shared" si="18"/>
        <v>260.91712145547126</v>
      </c>
      <c r="L80" s="39">
        <f t="shared" si="19"/>
        <v>4005.8880611372915</v>
      </c>
      <c r="M80" s="15">
        <f t="shared" si="14"/>
        <v>228.30248127353732</v>
      </c>
      <c r="N80" s="15">
        <f t="shared" si="20"/>
        <v>3505.1520534951305</v>
      </c>
    </row>
    <row r="81" spans="1:18">
      <c r="A81" s="38">
        <f t="shared" si="10"/>
        <v>46388</v>
      </c>
      <c r="B81" s="15">
        <f t="shared" si="21"/>
        <v>11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238.92988651891847</v>
      </c>
      <c r="J81" s="39">
        <f t="shared" si="23"/>
        <v>4244.81794765621</v>
      </c>
      <c r="K81" s="15">
        <f t="shared" si="18"/>
        <v>238.92988651891847</v>
      </c>
      <c r="L81" s="39">
        <f t="shared" si="19"/>
        <v>4244.81794765621</v>
      </c>
      <c r="M81" s="15">
        <f t="shared" si="14"/>
        <v>209.06365070405366</v>
      </c>
      <c r="N81" s="15">
        <f t="shared" si="20"/>
        <v>3714.2157041991841</v>
      </c>
    </row>
    <row r="82" spans="1:18">
      <c r="A82" s="38">
        <f t="shared" si="10"/>
        <v>46753</v>
      </c>
      <c r="B82" s="15">
        <f t="shared" si="21"/>
        <v>11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219.36886722988129</v>
      </c>
      <c r="J82" s="39">
        <f t="shared" si="23"/>
        <v>4464.1868148860913</v>
      </c>
      <c r="K82" s="15">
        <f t="shared" si="18"/>
        <v>219.36886722988129</v>
      </c>
      <c r="L82" s="39">
        <f t="shared" si="19"/>
        <v>4464.1868148860913</v>
      </c>
      <c r="M82" s="15">
        <f t="shared" si="14"/>
        <v>191.94775882614613</v>
      </c>
      <c r="N82" s="15">
        <f t="shared" si="20"/>
        <v>3906.1634630253302</v>
      </c>
    </row>
    <row r="83" spans="1:18">
      <c r="A83" s="38">
        <f t="shared" si="10"/>
        <v>47119</v>
      </c>
      <c r="B83" s="15">
        <f t="shared" si="21"/>
        <v>11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200.30949122406946</v>
      </c>
      <c r="J83" s="39">
        <f t="shared" si="23"/>
        <v>4664.4963061101607</v>
      </c>
      <c r="K83" s="15">
        <f t="shared" si="18"/>
        <v>200.30949122406946</v>
      </c>
      <c r="L83" s="39">
        <f t="shared" si="19"/>
        <v>4664.4963061101607</v>
      </c>
      <c r="M83" s="15">
        <f t="shared" si="14"/>
        <v>175.27080482106078</v>
      </c>
      <c r="N83" s="15">
        <f t="shared" si="20"/>
        <v>4081.4342678463909</v>
      </c>
    </row>
    <row r="84" spans="1:18">
      <c r="A84" s="38">
        <f t="shared" si="10"/>
        <v>47484</v>
      </c>
      <c r="B84" s="15">
        <f t="shared" si="21"/>
        <v>11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183.4296030090054</v>
      </c>
      <c r="J84" s="39">
        <f t="shared" si="23"/>
        <v>4847.9259091191661</v>
      </c>
      <c r="K84" s="15">
        <f t="shared" si="18"/>
        <v>183.4296030090054</v>
      </c>
      <c r="L84" s="39">
        <f t="shared" si="19"/>
        <v>4847.9259091191661</v>
      </c>
      <c r="M84" s="15">
        <f t="shared" si="14"/>
        <v>160.50090263287973</v>
      </c>
      <c r="N84" s="15">
        <f t="shared" si="20"/>
        <v>4241.9351704792707</v>
      </c>
    </row>
    <row r="85" spans="1:18">
      <c r="A85" s="38">
        <f t="shared" si="10"/>
        <v>47849</v>
      </c>
      <c r="B85" s="15">
        <f>IF(E64=0,0,B84)</f>
        <v>11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1653.4108768239812</v>
      </c>
      <c r="J85" s="39">
        <f>IF(E64=0,J84,IF(E$6=1,(E$4)/(E$5/365)*LN((E$4)/E7)/1000,(E$4)^E$6*((E$4)^(1-E$6)-E7^(1-E$6))/((1-E$6)*E$5/365)/1000))</f>
        <v>6501.3367859431473</v>
      </c>
      <c r="K85" s="15">
        <f t="shared" si="18"/>
        <v>1653.4108768239812</v>
      </c>
      <c r="L85" s="39">
        <f t="shared" si="19"/>
        <v>6501.3367859431473</v>
      </c>
      <c r="M85" s="15">
        <f t="shared" si="14"/>
        <v>1446.7345172209834</v>
      </c>
      <c r="N85" s="15">
        <f t="shared" si="20"/>
        <v>5688.6696877002541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7330</v>
      </c>
      <c r="N92" s="41">
        <f t="shared" ref="N92:N107" si="24">L92-M92</f>
        <v>-7330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2808.6507549514208</v>
      </c>
      <c r="I93" s="41">
        <f t="shared" ref="I93:I107" si="28">E71*K50*E$27+E71*(K50-E$14)*G$27+K71*L50*E$27+K71*(L50-E$15)*G$27+D93*M50*(E$27+G$27)/1000</f>
        <v>351.0813443689276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264.12555537834595</v>
      </c>
      <c r="L93" s="41">
        <f t="shared" ref="L93:L107" si="30">H93+J93-I93-K93</f>
        <v>2193.4438552041474</v>
      </c>
      <c r="M93" s="41">
        <f t="shared" ref="M93:M105" si="31">IF(B72&lt;B71,E$25*(1+E$22/365)^(A50-A$50),0)</f>
        <v>0</v>
      </c>
      <c r="N93" s="41">
        <f t="shared" si="24"/>
        <v>2193.4438552041474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2374.6102903620372</v>
      </c>
      <c r="I94" s="41">
        <f t="shared" si="28"/>
        <v>296.82628629525465</v>
      </c>
      <c r="J94" s="41">
        <f t="shared" si="29"/>
        <v>0</v>
      </c>
      <c r="K94" s="41">
        <f>IF(H94=0,0,((B72*E$16+E$19)*12+E72*(E$17+E$20)+K72*(E$18+E$21))*(1+E$22)^((A51-A$50)/365))</f>
        <v>257.0198380808028</v>
      </c>
      <c r="L94" s="41">
        <f t="shared" si="30"/>
        <v>1820.7641659859796</v>
      </c>
      <c r="M94" s="41">
        <f t="shared" si="31"/>
        <v>0</v>
      </c>
      <c r="N94" s="41">
        <f t="shared" si="24"/>
        <v>1820.7641659859796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2198.2866988467322</v>
      </c>
      <c r="I95" s="41">
        <f t="shared" si="28"/>
        <v>274.78583735584152</v>
      </c>
      <c r="J95" s="41">
        <f t="shared" si="29"/>
        <v>0</v>
      </c>
      <c r="K95" s="41">
        <f t="shared" ref="K95:K107" si="32">IF(H95=0,0,((B73*E$16+E$19)*12+E73*(E$17+E$20)+K73*(E$18+E$21))*(1+E$22)^((A52-A$50)/365))</f>
        <v>250.58906484674461</v>
      </c>
      <c r="L95" s="41">
        <f t="shared" si="30"/>
        <v>1672.9117966441461</v>
      </c>
      <c r="M95" s="41">
        <f t="shared" si="31"/>
        <v>0</v>
      </c>
      <c r="N95" s="41">
        <f t="shared" si="24"/>
        <v>1672.9117966441461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2133.9520861721066</v>
      </c>
      <c r="I96" s="41">
        <f t="shared" si="28"/>
        <v>266.74401077151333</v>
      </c>
      <c r="J96" s="41">
        <f t="shared" si="29"/>
        <v>0</v>
      </c>
      <c r="K96" s="41">
        <f t="shared" si="32"/>
        <v>245.10062827917852</v>
      </c>
      <c r="L96" s="41">
        <f t="shared" si="30"/>
        <v>1622.1074471214147</v>
      </c>
      <c r="M96" s="41">
        <f t="shared" si="31"/>
        <v>0</v>
      </c>
      <c r="N96" s="41">
        <f t="shared" si="24"/>
        <v>1622.1074471214147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2009.5208616305201</v>
      </c>
      <c r="I97" s="41">
        <f t="shared" si="28"/>
        <v>251.19010770381502</v>
      </c>
      <c r="J97" s="41">
        <f t="shared" si="29"/>
        <v>0</v>
      </c>
      <c r="K97" s="41">
        <f t="shared" si="32"/>
        <v>239.58008055928764</v>
      </c>
      <c r="L97" s="41">
        <f t="shared" si="30"/>
        <v>1518.7506733674174</v>
      </c>
      <c r="M97" s="41">
        <f t="shared" si="31"/>
        <v>0</v>
      </c>
      <c r="N97" s="41">
        <f t="shared" si="24"/>
        <v>1518.7506733674174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1895.2520356088933</v>
      </c>
      <c r="I98" s="41">
        <f t="shared" si="28"/>
        <v>236.90650445111166</v>
      </c>
      <c r="J98" s="41">
        <f t="shared" si="29"/>
        <v>0</v>
      </c>
      <c r="K98" s="41">
        <f t="shared" si="32"/>
        <v>234.94410055777175</v>
      </c>
      <c r="L98" s="41">
        <f t="shared" si="30"/>
        <v>1423.4014306000099</v>
      </c>
      <c r="M98" s="41">
        <f t="shared" si="31"/>
        <v>0</v>
      </c>
      <c r="N98" s="41">
        <f t="shared" si="24"/>
        <v>1423.4014306000099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1786.1426007323857</v>
      </c>
      <c r="I99" s="41">
        <f t="shared" si="28"/>
        <v>223.26782509154822</v>
      </c>
      <c r="J99" s="41">
        <f t="shared" si="29"/>
        <v>0</v>
      </c>
      <c r="K99" s="41">
        <f t="shared" si="32"/>
        <v>230.83719162599598</v>
      </c>
      <c r="L99" s="41">
        <f t="shared" si="30"/>
        <v>1332.0375840148415</v>
      </c>
      <c r="M99" s="41">
        <f t="shared" si="31"/>
        <v>0</v>
      </c>
      <c r="N99" s="41">
        <f t="shared" si="24"/>
        <v>1332.0375840148415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1682.6856531565625</v>
      </c>
      <c r="I100" s="41">
        <f t="shared" si="28"/>
        <v>210.33570664457031</v>
      </c>
      <c r="J100" s="41">
        <f t="shared" si="29"/>
        <v>0</v>
      </c>
      <c r="K100" s="41">
        <f t="shared" si="32"/>
        <v>227.4631511726941</v>
      </c>
      <c r="L100" s="41">
        <f t="shared" si="30"/>
        <v>1244.886795339298</v>
      </c>
      <c r="M100" s="41">
        <f t="shared" si="31"/>
        <v>0</v>
      </c>
      <c r="N100" s="41">
        <f t="shared" si="24"/>
        <v>1244.886795339298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1563.4048712272222</v>
      </c>
      <c r="I101" s="41">
        <f t="shared" si="28"/>
        <v>195.42560890340278</v>
      </c>
      <c r="J101" s="41">
        <f t="shared" si="29"/>
        <v>0</v>
      </c>
      <c r="K101" s="41">
        <f t="shared" si="32"/>
        <v>224.08299377222144</v>
      </c>
      <c r="L101" s="41">
        <f t="shared" si="30"/>
        <v>1143.896268551598</v>
      </c>
      <c r="M101" s="41">
        <f t="shared" si="31"/>
        <v>0</v>
      </c>
      <c r="N101" s="41">
        <f t="shared" si="24"/>
        <v>1143.896268551598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1461.4131069029165</v>
      </c>
      <c r="I102" s="41">
        <f t="shared" si="28"/>
        <v>182.67663836286457</v>
      </c>
      <c r="J102" s="41">
        <f t="shared" si="29"/>
        <v>0</v>
      </c>
      <c r="K102" s="41">
        <f t="shared" si="32"/>
        <v>221.39015765375166</v>
      </c>
      <c r="L102" s="41">
        <f t="shared" si="30"/>
        <v>1057.3463108863002</v>
      </c>
      <c r="M102" s="41">
        <f t="shared" si="31"/>
        <v>0</v>
      </c>
      <c r="N102" s="41">
        <f t="shared" si="24"/>
        <v>1057.3463108863002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1365.7444362513684</v>
      </c>
      <c r="I103" s="41">
        <f t="shared" si="28"/>
        <v>170.71805453142105</v>
      </c>
      <c r="J103" s="41">
        <f t="shared" si="29"/>
        <v>0</v>
      </c>
      <c r="K103" s="41">
        <f t="shared" si="32"/>
        <v>219.11665452927784</v>
      </c>
      <c r="L103" s="41">
        <f t="shared" si="30"/>
        <v>975.9097271906694</v>
      </c>
      <c r="M103" s="41">
        <f t="shared" si="31"/>
        <v>0</v>
      </c>
      <c r="N103" s="41">
        <f t="shared" si="24"/>
        <v>975.9097271906694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1279.5345742990523</v>
      </c>
      <c r="I104" s="41">
        <f t="shared" si="28"/>
        <v>159.94182178738154</v>
      </c>
      <c r="J104" s="41">
        <f t="shared" si="29"/>
        <v>0</v>
      </c>
      <c r="K104" s="41">
        <f t="shared" si="32"/>
        <v>217.41791060541189</v>
      </c>
      <c r="L104" s="41">
        <f t="shared" si="30"/>
        <v>902.17484190625896</v>
      </c>
      <c r="M104" s="41">
        <f t="shared" si="31"/>
        <v>0</v>
      </c>
      <c r="N104" s="41">
        <f t="shared" si="24"/>
        <v>902.17484190625896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1189.0015558640712</v>
      </c>
      <c r="I105" s="41">
        <f t="shared" si="28"/>
        <v>148.6251944830089</v>
      </c>
      <c r="J105" s="41">
        <f t="shared" si="29"/>
        <v>0</v>
      </c>
      <c r="K105" s="41">
        <f t="shared" si="32"/>
        <v>215.73434285106978</v>
      </c>
      <c r="L105" s="41">
        <f t="shared" si="30"/>
        <v>824.64201852999247</v>
      </c>
      <c r="M105" s="41">
        <f t="shared" si="31"/>
        <v>0</v>
      </c>
      <c r="N105" s="41">
        <f t="shared" si="24"/>
        <v>824.64201852999247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1110.850270930049</v>
      </c>
      <c r="I106" s="41">
        <f t="shared" si="28"/>
        <v>138.85628386625612</v>
      </c>
      <c r="J106" s="41">
        <f t="shared" si="29"/>
        <v>0</v>
      </c>
      <c r="K106" s="41">
        <f t="shared" si="32"/>
        <v>214.58915729528294</v>
      </c>
      <c r="L106" s="41">
        <f t="shared" si="30"/>
        <v>757.4048297685099</v>
      </c>
      <c r="M106" s="41">
        <f>IF(B85&lt;B84,E$25*(1+E$22/365)^(A63-A$50),0)</f>
        <v>0</v>
      </c>
      <c r="N106" s="41">
        <f t="shared" si="24"/>
        <v>757.4048297685099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10214.725328730756</v>
      </c>
      <c r="I107" s="41">
        <f t="shared" si="28"/>
        <v>1276.8406660913445</v>
      </c>
      <c r="J107" s="41">
        <f t="shared" si="29"/>
        <v>0</v>
      </c>
      <c r="K107" s="41">
        <f t="shared" si="32"/>
        <v>703.8621384224773</v>
      </c>
      <c r="L107" s="41">
        <f t="shared" si="30"/>
        <v>8234.0225242169345</v>
      </c>
      <c r="M107" s="41">
        <f>IF(B86&lt;B85,E$25*(1+E$22/365)^(A64-A$50),0)</f>
        <v>972.65282270704722</v>
      </c>
      <c r="N107" s="41">
        <f t="shared" si="24"/>
        <v>7261.3697015098869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0" workbookViewId="0">
      <selection activeCell="E32" sqref="E32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0.57031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21" ht="15.75">
      <c r="A1" s="13" t="s">
        <v>472</v>
      </c>
    </row>
    <row r="2" spans="1:21" ht="15.75">
      <c r="A2" s="13" t="s">
        <v>241</v>
      </c>
    </row>
    <row r="3" spans="1:21" ht="15.75">
      <c r="A3" s="13"/>
    </row>
    <row r="4" spans="1:21" ht="15.75">
      <c r="A4" s="14" t="s">
        <v>183</v>
      </c>
      <c r="B4" s="14"/>
      <c r="E4" s="12">
        <f>'Cam Gas'!I48</f>
        <v>1800</v>
      </c>
      <c r="F4" s="14" t="s">
        <v>212</v>
      </c>
      <c r="G4" s="15"/>
    </row>
    <row r="5" spans="1:21" ht="15.75">
      <c r="A5" s="14" t="s">
        <v>184</v>
      </c>
      <c r="B5" s="14"/>
      <c r="E5" s="26">
        <f>'Cam Gas'!I49</f>
        <v>9.0023745025012217E-2</v>
      </c>
      <c r="F5" s="17" t="s">
        <v>74</v>
      </c>
    </row>
    <row r="6" spans="1:21">
      <c r="A6" s="14" t="s">
        <v>97</v>
      </c>
      <c r="B6" s="14"/>
      <c r="E6" s="12">
        <v>0</v>
      </c>
      <c r="F6" s="14" t="s">
        <v>98</v>
      </c>
    </row>
    <row r="7" spans="1:21" ht="15.75">
      <c r="A7" s="14" t="s">
        <v>99</v>
      </c>
      <c r="B7" s="14"/>
      <c r="E7" s="74">
        <f>'Cam Gas'!I50</f>
        <v>81.972548514251244</v>
      </c>
      <c r="F7" s="14" t="s">
        <v>212</v>
      </c>
    </row>
    <row r="8" spans="1:21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21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21">
      <c r="A10" s="14" t="s">
        <v>106</v>
      </c>
      <c r="B10" s="14"/>
      <c r="E10" s="12">
        <f>'Cam Gas'!G44</f>
        <v>3</v>
      </c>
      <c r="F10" s="14"/>
    </row>
    <row r="11" spans="1:21">
      <c r="A11" s="14" t="s">
        <v>214</v>
      </c>
      <c r="B11" s="14"/>
      <c r="E11" s="21">
        <v>1</v>
      </c>
      <c r="F11" s="14"/>
    </row>
    <row r="12" spans="1:21" ht="15.75">
      <c r="A12" s="13"/>
    </row>
    <row r="13" spans="1:21">
      <c r="A13" s="12" t="s">
        <v>107</v>
      </c>
      <c r="E13" s="14"/>
      <c r="Q13" s="14" t="e">
        <f>#REF!</f>
        <v>#REF!</v>
      </c>
      <c r="U13" s="12" t="s">
        <v>108</v>
      </c>
    </row>
    <row r="14" spans="1:21">
      <c r="B14" s="14" t="s">
        <v>109</v>
      </c>
      <c r="E14" s="41">
        <v>0</v>
      </c>
      <c r="F14" s="17" t="s">
        <v>110</v>
      </c>
      <c r="Q14" s="14"/>
    </row>
    <row r="15" spans="1:21">
      <c r="B15" s="14"/>
      <c r="E15" s="41">
        <v>0</v>
      </c>
      <c r="F15" s="17" t="s">
        <v>111</v>
      </c>
      <c r="Q15" s="14"/>
    </row>
    <row r="16" spans="1:21">
      <c r="B16" s="14" t="s">
        <v>112</v>
      </c>
      <c r="E16" s="41">
        <v>0</v>
      </c>
      <c r="F16" s="23" t="s">
        <v>190</v>
      </c>
      <c r="G16" s="23"/>
      <c r="H16" s="23"/>
      <c r="U16" s="12" t="s">
        <v>113</v>
      </c>
    </row>
    <row r="17" spans="1:21">
      <c r="B17" s="12" t="s">
        <v>114</v>
      </c>
      <c r="E17" s="41">
        <v>0</v>
      </c>
      <c r="F17" s="17" t="s">
        <v>110</v>
      </c>
      <c r="G17" s="23"/>
      <c r="H17" s="23"/>
      <c r="Q17" s="12" t="s">
        <v>115</v>
      </c>
      <c r="R17" s="24" t="e">
        <f>#REF!</f>
        <v>#REF!</v>
      </c>
      <c r="U17" s="25">
        <v>1</v>
      </c>
    </row>
    <row r="18" spans="1:21">
      <c r="E18" s="41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'Cam Gas'!I57</f>
        <v>10</v>
      </c>
      <c r="F19" s="23" t="s">
        <v>188</v>
      </c>
      <c r="G19" s="23"/>
      <c r="H19" s="23"/>
      <c r="Q19" s="12" t="s">
        <v>117</v>
      </c>
      <c r="R19" s="24" t="e">
        <f>#REF!</f>
        <v>#REF!</v>
      </c>
      <c r="U19" s="25">
        <v>0.3</v>
      </c>
    </row>
    <row r="20" spans="1:21">
      <c r="B20" s="12" t="s">
        <v>118</v>
      </c>
      <c r="E20" s="41">
        <v>0</v>
      </c>
      <c r="F20" s="17" t="s">
        <v>110</v>
      </c>
      <c r="G20" s="41"/>
      <c r="H20" s="23"/>
      <c r="Q20" s="12" t="s">
        <v>119</v>
      </c>
      <c r="R20" s="24" t="e">
        <f>#REF!</f>
        <v>#REF!</v>
      </c>
      <c r="U20" s="25">
        <v>0.1</v>
      </c>
    </row>
    <row r="21" spans="1:21">
      <c r="E21" s="84">
        <f>'Cam Gas'!I56</f>
        <v>0.25</v>
      </c>
      <c r="F21" s="17" t="s">
        <v>111</v>
      </c>
      <c r="G21" s="41"/>
      <c r="H21" s="23"/>
      <c r="R21" s="24"/>
      <c r="U21" s="25"/>
    </row>
    <row r="22" spans="1:21">
      <c r="B22" s="12" t="s">
        <v>120</v>
      </c>
      <c r="E22" s="26">
        <v>0.02</v>
      </c>
      <c r="F22" s="23" t="s">
        <v>74</v>
      </c>
      <c r="G22" s="23"/>
      <c r="H22" s="23"/>
      <c r="Q22" s="12" t="s">
        <v>121</v>
      </c>
      <c r="R22" s="24" t="e">
        <f>#REF!</f>
        <v>#REF!</v>
      </c>
      <c r="U22" s="25">
        <v>1</v>
      </c>
    </row>
    <row r="23" spans="1:21">
      <c r="A23" s="12" t="s">
        <v>122</v>
      </c>
      <c r="Q23" s="12" t="s">
        <v>123</v>
      </c>
      <c r="R23" s="24" t="e">
        <f>#REF!</f>
        <v>#REF!</v>
      </c>
      <c r="U23" s="25">
        <v>0.3</v>
      </c>
    </row>
    <row r="24" spans="1:21">
      <c r="B24" s="12" t="s">
        <v>194</v>
      </c>
      <c r="E24" s="42">
        <f>'Cam Gas'!I46</f>
        <v>4120</v>
      </c>
      <c r="F24" s="12" t="s">
        <v>195</v>
      </c>
    </row>
    <row r="25" spans="1:21">
      <c r="B25" s="12" t="s">
        <v>193</v>
      </c>
      <c r="E25" s="42">
        <f>'Cam Gas'!I58+'Cam Gas'!I59</f>
        <v>525</v>
      </c>
      <c r="F25" s="12" t="s">
        <v>196</v>
      </c>
    </row>
    <row r="27" spans="1:21">
      <c r="A27" s="14" t="s">
        <v>124</v>
      </c>
      <c r="E27" s="16">
        <v>0.125</v>
      </c>
      <c r="G27" s="27"/>
      <c r="I27" s="21"/>
      <c r="K27" s="26"/>
      <c r="R27" s="24"/>
      <c r="U27" s="25"/>
    </row>
    <row r="28" spans="1:21">
      <c r="R28" s="24"/>
      <c r="U28" s="25"/>
    </row>
    <row r="29" spans="1:21">
      <c r="A29" s="12" t="s">
        <v>125</v>
      </c>
    </row>
    <row r="30" spans="1:21">
      <c r="C30" s="28" t="s">
        <v>126</v>
      </c>
      <c r="E30" s="12" t="s">
        <v>515</v>
      </c>
    </row>
    <row r="31" spans="1:21">
      <c r="C31" s="28" t="s">
        <v>127</v>
      </c>
    </row>
    <row r="32" spans="1:21">
      <c r="A32" s="26">
        <v>0</v>
      </c>
      <c r="B32" s="12" t="s">
        <v>128</v>
      </c>
      <c r="C32" s="29">
        <f>NPV(A32,N$92:N$107)</f>
        <v>23919.982262506837</v>
      </c>
      <c r="D32" s="12" t="s">
        <v>58</v>
      </c>
      <c r="E32" s="84">
        <f>C32/E$24</f>
        <v>5.8058209375016592</v>
      </c>
    </row>
    <row r="33" spans="1:19">
      <c r="A33" s="26">
        <v>0.05</v>
      </c>
      <c r="B33" s="12" t="s">
        <v>128</v>
      </c>
      <c r="C33" s="29">
        <f t="shared" ref="C33:C37" si="0">NPV(A33,N$92:N$107)</f>
        <v>14054.589448434546</v>
      </c>
      <c r="D33" s="12" t="s">
        <v>58</v>
      </c>
      <c r="E33" s="84">
        <f t="shared" ref="E33:E37" si="1">C33/E$24</f>
        <v>3.4113081185520744</v>
      </c>
    </row>
    <row r="34" spans="1:19">
      <c r="A34" s="26">
        <v>0.1</v>
      </c>
      <c r="B34" s="12" t="s">
        <v>128</v>
      </c>
      <c r="C34" s="29">
        <f t="shared" si="0"/>
        <v>8706.7170980335177</v>
      </c>
      <c r="D34" s="12" t="s">
        <v>58</v>
      </c>
      <c r="E34" s="84">
        <f t="shared" si="1"/>
        <v>2.1132808490372614</v>
      </c>
    </row>
    <row r="35" spans="1:19">
      <c r="A35" s="26">
        <v>0.125</v>
      </c>
      <c r="B35" s="12" t="s">
        <v>128</v>
      </c>
      <c r="C35" s="29">
        <f t="shared" si="0"/>
        <v>6956.4484196476733</v>
      </c>
      <c r="D35" s="12" t="s">
        <v>58</v>
      </c>
      <c r="E35" s="84">
        <f t="shared" si="1"/>
        <v>1.688458354283416</v>
      </c>
      <c r="F35" s="14"/>
    </row>
    <row r="36" spans="1:19">
      <c r="A36" s="26">
        <v>0.15</v>
      </c>
      <c r="B36" s="12" t="s">
        <v>128</v>
      </c>
      <c r="C36" s="29">
        <f t="shared" si="0"/>
        <v>5598.6523131084778</v>
      </c>
      <c r="D36" s="12" t="s">
        <v>58</v>
      </c>
      <c r="E36" s="84">
        <f t="shared" si="1"/>
        <v>1.3588961925020577</v>
      </c>
      <c r="F36" s="14"/>
    </row>
    <row r="37" spans="1:19">
      <c r="A37" s="26">
        <v>0.2</v>
      </c>
      <c r="B37" s="12" t="s">
        <v>128</v>
      </c>
      <c r="C37" s="29">
        <f t="shared" si="0"/>
        <v>3674.8833968079521</v>
      </c>
      <c r="D37" s="12" t="s">
        <v>58</v>
      </c>
      <c r="E37" s="84">
        <f t="shared" si="1"/>
        <v>0.89196198951649319</v>
      </c>
      <c r="F37" s="14"/>
    </row>
    <row r="38" spans="1:19">
      <c r="A38" s="12" t="s">
        <v>197</v>
      </c>
      <c r="C38" s="25">
        <f>IF(SUM(N92:N107)&lt;0,0,IRR(N92:N107))</f>
        <v>0.47835309980839491</v>
      </c>
    </row>
    <row r="39" spans="1:19">
      <c r="A39" s="14" t="s">
        <v>129</v>
      </c>
    </row>
    <row r="40" spans="1:19" ht="14.25">
      <c r="A40" s="30"/>
      <c r="F40" s="14" t="s">
        <v>130</v>
      </c>
      <c r="H40" s="14" t="s">
        <v>131</v>
      </c>
      <c r="J40" s="14" t="s">
        <v>132</v>
      </c>
      <c r="L40" s="14" t="s">
        <v>133</v>
      </c>
    </row>
    <row r="41" spans="1:19">
      <c r="A41" s="31" t="s">
        <v>134</v>
      </c>
      <c r="B41" s="14"/>
      <c r="F41" s="32">
        <f>D85</f>
        <v>0</v>
      </c>
      <c r="G41" s="14" t="s">
        <v>76</v>
      </c>
      <c r="H41" s="45">
        <f>J85</f>
        <v>6965.7179849390877</v>
      </c>
      <c r="I41" s="14" t="s">
        <v>135</v>
      </c>
      <c r="J41" s="33">
        <f>C107</f>
        <v>0</v>
      </c>
      <c r="K41" s="14" t="s">
        <v>136</v>
      </c>
      <c r="L41" s="33">
        <f>F41+H41/E$42+J41</f>
        <v>1160.952997489848</v>
      </c>
      <c r="M41" s="14" t="s">
        <v>76</v>
      </c>
    </row>
    <row r="42" spans="1:19">
      <c r="A42" s="14" t="s">
        <v>137</v>
      </c>
      <c r="B42" s="14" t="s">
        <v>138</v>
      </c>
      <c r="E42" s="12">
        <v>6</v>
      </c>
      <c r="F42" s="14" t="s">
        <v>139</v>
      </c>
      <c r="H42" s="12">
        <v>1</v>
      </c>
      <c r="I42" s="14" t="s">
        <v>140</v>
      </c>
    </row>
    <row r="45" spans="1:19">
      <c r="A45" s="12" t="s">
        <v>141</v>
      </c>
      <c r="B45" s="30" t="s">
        <v>142</v>
      </c>
      <c r="C45" s="30"/>
      <c r="D45" s="30"/>
      <c r="E45" s="30" t="s">
        <v>142</v>
      </c>
      <c r="F45" s="30"/>
      <c r="G45" s="30"/>
      <c r="H45" s="30" t="s">
        <v>142</v>
      </c>
      <c r="I45" s="30"/>
      <c r="J45" s="30"/>
      <c r="K45" s="28"/>
      <c r="O45" s="30"/>
      <c r="P45" s="30"/>
      <c r="Q45" s="30"/>
      <c r="R45" s="30"/>
    </row>
    <row r="46" spans="1:19">
      <c r="A46" s="12" t="s">
        <v>143</v>
      </c>
      <c r="B46" s="30" t="s">
        <v>144</v>
      </c>
      <c r="C46" s="30" t="s">
        <v>144</v>
      </c>
      <c r="D46" s="30" t="s">
        <v>145</v>
      </c>
      <c r="E46" s="30" t="s">
        <v>144</v>
      </c>
      <c r="F46" s="30" t="s">
        <v>144</v>
      </c>
      <c r="G46" s="30" t="s">
        <v>145</v>
      </c>
      <c r="H46" s="30" t="s">
        <v>144</v>
      </c>
      <c r="I46" s="30" t="s">
        <v>144</v>
      </c>
      <c r="J46" s="30" t="s">
        <v>145</v>
      </c>
      <c r="K46" s="64" t="s">
        <v>237</v>
      </c>
      <c r="L46" s="28" t="s">
        <v>147</v>
      </c>
      <c r="M46" s="30" t="s">
        <v>148</v>
      </c>
      <c r="O46" s="28"/>
      <c r="P46" s="28"/>
      <c r="Q46" s="28"/>
      <c r="R46" s="28"/>
      <c r="S46" s="28"/>
    </row>
    <row r="47" spans="1:19">
      <c r="B47" s="30" t="s">
        <v>149</v>
      </c>
      <c r="C47" s="30" t="s">
        <v>149</v>
      </c>
      <c r="D47" s="30" t="s">
        <v>149</v>
      </c>
      <c r="E47" s="30" t="s">
        <v>150</v>
      </c>
      <c r="F47" s="30" t="s">
        <v>150</v>
      </c>
      <c r="G47" s="30" t="s">
        <v>150</v>
      </c>
      <c r="H47" s="30" t="s">
        <v>151</v>
      </c>
      <c r="I47" s="30" t="s">
        <v>151</v>
      </c>
      <c r="J47" s="30" t="s">
        <v>151</v>
      </c>
      <c r="K47" s="30" t="s">
        <v>146</v>
      </c>
      <c r="L47" s="28" t="s">
        <v>152</v>
      </c>
      <c r="M47" s="30" t="s">
        <v>152</v>
      </c>
      <c r="O47" s="30"/>
      <c r="P47" s="30"/>
      <c r="Q47" s="30"/>
      <c r="R47" s="30"/>
      <c r="S47" s="28"/>
    </row>
    <row r="48" spans="1:19">
      <c r="B48" s="28" t="s">
        <v>153</v>
      </c>
      <c r="C48" s="28" t="s">
        <v>153</v>
      </c>
      <c r="D48" s="28" t="s">
        <v>153</v>
      </c>
      <c r="E48" s="28" t="s">
        <v>153</v>
      </c>
      <c r="F48" s="28" t="s">
        <v>153</v>
      </c>
      <c r="G48" s="28" t="s">
        <v>153</v>
      </c>
      <c r="H48" s="28" t="s">
        <v>153</v>
      </c>
      <c r="I48" s="28" t="s">
        <v>153</v>
      </c>
      <c r="J48" s="28" t="s">
        <v>153</v>
      </c>
      <c r="K48" s="30" t="s">
        <v>152</v>
      </c>
      <c r="L48" s="28"/>
      <c r="M48" s="28"/>
      <c r="O48" s="28"/>
      <c r="P48" s="28"/>
      <c r="Q48" s="28"/>
      <c r="R48" s="28"/>
      <c r="S48" s="28"/>
    </row>
    <row r="49" spans="1:19">
      <c r="B49" s="30" t="s">
        <v>154</v>
      </c>
      <c r="C49" s="30" t="s">
        <v>154</v>
      </c>
      <c r="D49" s="30" t="s">
        <v>154</v>
      </c>
      <c r="E49" s="30" t="s">
        <v>155</v>
      </c>
      <c r="F49" s="30" t="s">
        <v>155</v>
      </c>
      <c r="G49" s="30" t="s">
        <v>155</v>
      </c>
      <c r="H49" s="30" t="s">
        <v>156</v>
      </c>
      <c r="I49" s="30" t="s">
        <v>156</v>
      </c>
      <c r="J49" s="30" t="s">
        <v>156</v>
      </c>
      <c r="K49" s="30" t="s">
        <v>157</v>
      </c>
      <c r="L49" s="28" t="s">
        <v>158</v>
      </c>
      <c r="M49" s="30" t="s">
        <v>157</v>
      </c>
      <c r="O49" s="28"/>
      <c r="P49" s="28"/>
      <c r="Q49" s="28"/>
      <c r="R49" s="28"/>
      <c r="S49" s="28"/>
    </row>
    <row r="50" spans="1:19">
      <c r="A50" s="34">
        <f>DATE(2017,1,1)</f>
        <v>42736</v>
      </c>
      <c r="B50" s="35">
        <v>0</v>
      </c>
      <c r="C50" s="18">
        <f t="shared" ref="C50:C64" si="2">B50*E$11</f>
        <v>0</v>
      </c>
      <c r="D50" s="35">
        <f>C50*(1-$E$27)</f>
        <v>0</v>
      </c>
      <c r="E50" s="35">
        <f>E4</f>
        <v>1800</v>
      </c>
      <c r="F50" s="18">
        <f>E50*E$11</f>
        <v>1800</v>
      </c>
      <c r="G50" s="35">
        <f>F50*(1-$E$27)</f>
        <v>1575</v>
      </c>
      <c r="H50" s="36">
        <f t="shared" ref="H50:J64" si="3">E50*$G$9</f>
        <v>0</v>
      </c>
      <c r="I50" s="36">
        <f t="shared" si="3"/>
        <v>0</v>
      </c>
      <c r="J50" s="36">
        <f t="shared" si="3"/>
        <v>0</v>
      </c>
      <c r="K50" s="22">
        <f>Prices!G41</f>
        <v>68.017518133919609</v>
      </c>
      <c r="L50" s="37">
        <f>Prices!F14</f>
        <v>4.8718819288820665</v>
      </c>
      <c r="M50" s="22">
        <v>0</v>
      </c>
    </row>
    <row r="51" spans="1:19">
      <c r="A51" s="34">
        <f>A50+365</f>
        <v>43101</v>
      </c>
      <c r="B51" s="35">
        <f t="shared" ref="B51:B64" si="4">IF(B50&lt;=E$7,0,IF(IF(E$6=0,E$4*EXP(-E$5*(A51-A$50)/365),(E$4)/(1+(E$6*E$5*(A51-A$50)/365))^(1/E$6))&lt;=(E$7),E$7,IF(E$6=0,E$4*EXP(-E$5*(A51-A$50)/365),(E$4)/(1+(E$6*E$5*(A51-A$50)/365))^(1/E$6))))</f>
        <v>0</v>
      </c>
      <c r="C51" s="18">
        <f t="shared" si="2"/>
        <v>0</v>
      </c>
      <c r="D51" s="35">
        <f t="shared" ref="D51:D64" si="5">C51*(1-$E$27)</f>
        <v>0</v>
      </c>
      <c r="E51" s="35">
        <f t="shared" ref="E51:E64" si="6">IF(E50&lt;=E$7,0,IF(IF(E$6=0,E$4*EXP(-E$5*(A51-A$50)/365),(E$4)/(1+(E$6*E$5*(A51-A$50)/365))^(1/E$6))&lt;=(E$7),E$7,IF(E$6=0,E$4*EXP(-E$5*(A51-A$50)/365),(E$4)/(1+(E$6*E$5*(A51-A$50)/365))^(1/E$6))))</f>
        <v>1645.0370715780389</v>
      </c>
      <c r="F51" s="18">
        <f t="shared" ref="F51:F64" si="7">E51*E$11</f>
        <v>1645.0370715780389</v>
      </c>
      <c r="G51" s="35">
        <f t="shared" ref="G51:G64" si="8">F51*(1-$E$27)</f>
        <v>1439.407437630784</v>
      </c>
      <c r="H51" s="36">
        <f t="shared" si="3"/>
        <v>0</v>
      </c>
      <c r="I51" s="36">
        <f t="shared" si="3"/>
        <v>0</v>
      </c>
      <c r="J51" s="36">
        <f t="shared" si="3"/>
        <v>0</v>
      </c>
      <c r="K51" s="22">
        <f>Prices!G42</f>
        <v>72.709965486630153</v>
      </c>
      <c r="L51" s="37">
        <f>Prices!F15</f>
        <v>4.4980415418332713</v>
      </c>
      <c r="M51" s="22">
        <v>0</v>
      </c>
    </row>
    <row r="52" spans="1:19">
      <c r="A52" s="34">
        <f t="shared" ref="A52:A64" si="9">A51+365</f>
        <v>43466</v>
      </c>
      <c r="B52" s="35">
        <f t="shared" si="4"/>
        <v>0</v>
      </c>
      <c r="C52" s="18">
        <f t="shared" si="2"/>
        <v>0</v>
      </c>
      <c r="D52" s="35">
        <f t="shared" si="5"/>
        <v>0</v>
      </c>
      <c r="E52" s="35">
        <f t="shared" si="6"/>
        <v>1503.4149815922499</v>
      </c>
      <c r="F52" s="18">
        <f t="shared" si="7"/>
        <v>1503.4149815922499</v>
      </c>
      <c r="G52" s="35">
        <f t="shared" si="8"/>
        <v>1315.4881088932186</v>
      </c>
      <c r="H52" s="36">
        <f t="shared" si="3"/>
        <v>0</v>
      </c>
      <c r="I52" s="36">
        <f t="shared" si="3"/>
        <v>0</v>
      </c>
      <c r="J52" s="36">
        <f t="shared" si="3"/>
        <v>0</v>
      </c>
      <c r="K52" s="22">
        <f>Prices!G43</f>
        <v>75.957901525876693</v>
      </c>
      <c r="L52" s="37">
        <f>Prices!F16</f>
        <v>4.5472365854935584</v>
      </c>
      <c r="M52" s="22">
        <v>0</v>
      </c>
    </row>
    <row r="53" spans="1:19">
      <c r="A53" s="34">
        <f t="shared" si="9"/>
        <v>43831</v>
      </c>
      <c r="B53" s="35">
        <f t="shared" si="4"/>
        <v>0</v>
      </c>
      <c r="C53" s="18">
        <f t="shared" si="2"/>
        <v>0</v>
      </c>
      <c r="D53" s="35">
        <f t="shared" si="5"/>
        <v>0</v>
      </c>
      <c r="E53" s="35">
        <f t="shared" si="6"/>
        <v>1373.9852103805922</v>
      </c>
      <c r="F53" s="18">
        <f t="shared" si="7"/>
        <v>1373.9852103805922</v>
      </c>
      <c r="G53" s="35">
        <f t="shared" si="8"/>
        <v>1202.2370590830183</v>
      </c>
      <c r="H53" s="36">
        <f t="shared" si="3"/>
        <v>0</v>
      </c>
      <c r="I53" s="36">
        <f t="shared" si="3"/>
        <v>0</v>
      </c>
      <c r="J53" s="36">
        <f t="shared" si="3"/>
        <v>0</v>
      </c>
      <c r="K53" s="22">
        <f>Prices!G44</f>
        <v>79.172689208586135</v>
      </c>
      <c r="L53" s="37">
        <f>Prices!F17</f>
        <v>4.8077664934430757</v>
      </c>
      <c r="M53" s="22">
        <v>0</v>
      </c>
    </row>
    <row r="54" spans="1:19">
      <c r="A54" s="34">
        <f>A53+366</f>
        <v>44197</v>
      </c>
      <c r="B54" s="35">
        <f t="shared" si="4"/>
        <v>0</v>
      </c>
      <c r="C54" s="18">
        <f t="shared" si="2"/>
        <v>0</v>
      </c>
      <c r="D54" s="35">
        <f t="shared" si="5"/>
        <v>0</v>
      </c>
      <c r="E54" s="35">
        <f t="shared" si="6"/>
        <v>1255.3884472389846</v>
      </c>
      <c r="F54" s="18">
        <f t="shared" si="7"/>
        <v>1255.3884472389846</v>
      </c>
      <c r="G54" s="35">
        <f t="shared" si="8"/>
        <v>1098.4648913341116</v>
      </c>
      <c r="H54" s="36">
        <f t="shared" si="3"/>
        <v>0</v>
      </c>
      <c r="I54" s="36">
        <f t="shared" si="3"/>
        <v>0</v>
      </c>
      <c r="J54" s="36">
        <f t="shared" si="3"/>
        <v>0</v>
      </c>
      <c r="K54" s="22">
        <f>Prices!G45</f>
        <v>82.386061325876696</v>
      </c>
      <c r="L54" s="37">
        <f>Prices!F18</f>
        <v>4.9582073681962511</v>
      </c>
      <c r="M54" s="22">
        <v>0</v>
      </c>
    </row>
    <row r="55" spans="1:19">
      <c r="A55" s="34">
        <f t="shared" si="9"/>
        <v>44562</v>
      </c>
      <c r="B55" s="35">
        <f t="shared" si="4"/>
        <v>0</v>
      </c>
      <c r="C55" s="18">
        <f t="shared" si="2"/>
        <v>0</v>
      </c>
      <c r="D55" s="35">
        <f t="shared" si="5"/>
        <v>0</v>
      </c>
      <c r="E55" s="35">
        <f t="shared" si="6"/>
        <v>1147.3114082994005</v>
      </c>
      <c r="F55" s="18">
        <f t="shared" si="7"/>
        <v>1147.3114082994005</v>
      </c>
      <c r="G55" s="35">
        <f t="shared" si="8"/>
        <v>1003.8974822619754</v>
      </c>
      <c r="H55" s="36">
        <f t="shared" si="3"/>
        <v>0</v>
      </c>
      <c r="I55" s="36">
        <f t="shared" si="3"/>
        <v>0</v>
      </c>
      <c r="J55" s="36">
        <f t="shared" si="3"/>
        <v>0</v>
      </c>
      <c r="K55" s="22">
        <f>Prices!G46</f>
        <v>85.548352757170818</v>
      </c>
      <c r="L55" s="37">
        <f>Prices!F19</f>
        <v>5.106592943533335</v>
      </c>
      <c r="M55" s="22">
        <v>0</v>
      </c>
    </row>
    <row r="56" spans="1:19">
      <c r="A56" s="34">
        <f t="shared" si="9"/>
        <v>44927</v>
      </c>
      <c r="B56" s="35">
        <f t="shared" si="4"/>
        <v>0</v>
      </c>
      <c r="C56" s="18">
        <f t="shared" si="2"/>
        <v>0</v>
      </c>
      <c r="D56" s="35">
        <f t="shared" si="5"/>
        <v>0</v>
      </c>
      <c r="E56" s="35">
        <f t="shared" si="6"/>
        <v>1048.5387773871785</v>
      </c>
      <c r="F56" s="18">
        <f t="shared" si="7"/>
        <v>1048.5387773871785</v>
      </c>
      <c r="G56" s="35">
        <f t="shared" si="8"/>
        <v>917.4714302137811</v>
      </c>
      <c r="H56" s="36">
        <f t="shared" si="3"/>
        <v>0</v>
      </c>
      <c r="I56" s="36">
        <f t="shared" si="3"/>
        <v>0</v>
      </c>
      <c r="J56" s="36">
        <f t="shared" si="3"/>
        <v>0</v>
      </c>
      <c r="K56" s="22">
        <f>Prices!G47</f>
        <v>87.718328252384921</v>
      </c>
      <c r="L56" s="37">
        <f>Prices!F20</f>
        <v>5.2554813537104295</v>
      </c>
      <c r="M56" s="22">
        <v>0</v>
      </c>
    </row>
    <row r="57" spans="1:19">
      <c r="A57" s="34">
        <f t="shared" si="9"/>
        <v>45292</v>
      </c>
      <c r="B57" s="35">
        <f t="shared" si="4"/>
        <v>0</v>
      </c>
      <c r="C57" s="18">
        <f t="shared" si="2"/>
        <v>0</v>
      </c>
      <c r="D57" s="35">
        <f t="shared" si="5"/>
        <v>0</v>
      </c>
      <c r="E57" s="35">
        <f t="shared" si="6"/>
        <v>958.26953321612291</v>
      </c>
      <c r="F57" s="18">
        <f t="shared" si="7"/>
        <v>958.26953321612291</v>
      </c>
      <c r="G57" s="35">
        <f t="shared" si="8"/>
        <v>838.48584156410755</v>
      </c>
      <c r="H57" s="36">
        <f t="shared" si="3"/>
        <v>0</v>
      </c>
      <c r="I57" s="36">
        <f t="shared" si="3"/>
        <v>0</v>
      </c>
      <c r="J57" s="36">
        <f t="shared" si="3"/>
        <v>0</v>
      </c>
      <c r="K57" s="22">
        <f>Prices!G48</f>
        <v>89.930553257503334</v>
      </c>
      <c r="L57" s="37">
        <f>Prices!F21</f>
        <v>5.3925582720906942</v>
      </c>
      <c r="M57" s="22">
        <v>0</v>
      </c>
    </row>
    <row r="58" spans="1:19">
      <c r="A58" s="34">
        <f>A57+366</f>
        <v>45658</v>
      </c>
      <c r="B58" s="35">
        <f t="shared" si="4"/>
        <v>0</v>
      </c>
      <c r="C58" s="18">
        <f t="shared" si="2"/>
        <v>0</v>
      </c>
      <c r="D58" s="35">
        <f t="shared" si="5"/>
        <v>0</v>
      </c>
      <c r="E58" s="35">
        <f t="shared" si="6"/>
        <v>875.55564081172713</v>
      </c>
      <c r="F58" s="18">
        <f t="shared" si="7"/>
        <v>875.55564081172713</v>
      </c>
      <c r="G58" s="35">
        <f t="shared" si="8"/>
        <v>766.11118571026122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22">
        <f>Prices!G49</f>
        <v>92.185372762724086</v>
      </c>
      <c r="L58" s="37">
        <f>Prices!F22</f>
        <v>5.4870229981707492</v>
      </c>
      <c r="M58" s="22">
        <v>0</v>
      </c>
    </row>
    <row r="59" spans="1:19">
      <c r="A59" s="34">
        <f t="shared" si="9"/>
        <v>46023</v>
      </c>
      <c r="B59" s="35">
        <f t="shared" si="4"/>
        <v>0</v>
      </c>
      <c r="C59" s="18">
        <f t="shared" si="2"/>
        <v>0</v>
      </c>
      <c r="D59" s="35">
        <f t="shared" si="5"/>
        <v>0</v>
      </c>
      <c r="E59" s="35">
        <f t="shared" si="6"/>
        <v>800.17860409142054</v>
      </c>
      <c r="F59" s="18">
        <f t="shared" si="7"/>
        <v>800.17860409142054</v>
      </c>
      <c r="G59" s="35">
        <f t="shared" si="8"/>
        <v>700.156278579993</v>
      </c>
      <c r="H59" s="36">
        <f t="shared" si="3"/>
        <v>0</v>
      </c>
      <c r="I59" s="36">
        <f t="shared" si="3"/>
        <v>0</v>
      </c>
      <c r="J59" s="36">
        <f t="shared" si="3"/>
        <v>0</v>
      </c>
      <c r="K59" s="22">
        <f>Prices!G50</f>
        <v>94.24313865804929</v>
      </c>
      <c r="L59" s="37">
        <f>Prices!F23</f>
        <v>5.6010625088561881</v>
      </c>
      <c r="M59" s="22">
        <v>0</v>
      </c>
    </row>
    <row r="60" spans="1:19">
      <c r="A60" s="34">
        <f t="shared" si="9"/>
        <v>46388</v>
      </c>
      <c r="B60" s="35">
        <f t="shared" si="4"/>
        <v>0</v>
      </c>
      <c r="C60" s="18">
        <f t="shared" si="2"/>
        <v>0</v>
      </c>
      <c r="D60" s="35">
        <f t="shared" si="5"/>
        <v>0</v>
      </c>
      <c r="E60" s="35">
        <f t="shared" si="6"/>
        <v>731.29081534108514</v>
      </c>
      <c r="F60" s="18">
        <f t="shared" si="7"/>
        <v>731.29081534108514</v>
      </c>
      <c r="G60" s="35">
        <f t="shared" si="8"/>
        <v>639.87946342344947</v>
      </c>
      <c r="H60" s="36">
        <f t="shared" si="3"/>
        <v>0</v>
      </c>
      <c r="I60" s="36">
        <f t="shared" si="3"/>
        <v>0</v>
      </c>
      <c r="J60" s="36">
        <f t="shared" si="3"/>
        <v>0</v>
      </c>
      <c r="K60" s="22">
        <f>Prices!G51</f>
        <v>96.104759871280962</v>
      </c>
      <c r="L60" s="37">
        <f>Prices!F24</f>
        <v>5.7160887495053023</v>
      </c>
      <c r="M60" s="22">
        <v>0</v>
      </c>
    </row>
    <row r="61" spans="1:19">
      <c r="A61" s="34">
        <f t="shared" si="9"/>
        <v>46753</v>
      </c>
      <c r="B61" s="35">
        <f t="shared" si="4"/>
        <v>0</v>
      </c>
      <c r="C61" s="18">
        <f t="shared" si="2"/>
        <v>0</v>
      </c>
      <c r="D61" s="35">
        <f t="shared" si="5"/>
        <v>0</v>
      </c>
      <c r="E61" s="35">
        <f t="shared" si="6"/>
        <v>668.33361185589729</v>
      </c>
      <c r="F61" s="18">
        <f t="shared" si="7"/>
        <v>668.33361185589729</v>
      </c>
      <c r="G61" s="35">
        <f t="shared" si="8"/>
        <v>584.79191037391013</v>
      </c>
      <c r="H61" s="36">
        <f t="shared" si="3"/>
        <v>0</v>
      </c>
      <c r="I61" s="36">
        <f t="shared" si="3"/>
        <v>0</v>
      </c>
      <c r="J61" s="36">
        <f t="shared" si="3"/>
        <v>0</v>
      </c>
      <c r="K61" s="22">
        <f>Prices!G52</f>
        <v>98.044613508777289</v>
      </c>
      <c r="L61" s="37">
        <f>Prices!F25</f>
        <v>5.832799295800716</v>
      </c>
      <c r="M61" s="22">
        <v>0</v>
      </c>
    </row>
    <row r="62" spans="1:19">
      <c r="A62" s="34">
        <f>A61+366</f>
        <v>47119</v>
      </c>
      <c r="B62" s="35">
        <f t="shared" si="4"/>
        <v>0</v>
      </c>
      <c r="C62" s="18">
        <f t="shared" si="2"/>
        <v>0</v>
      </c>
      <c r="D62" s="35">
        <f t="shared" si="5"/>
        <v>0</v>
      </c>
      <c r="E62" s="35">
        <f t="shared" si="6"/>
        <v>610.64579799442686</v>
      </c>
      <c r="F62" s="18">
        <f t="shared" si="7"/>
        <v>610.64579799442686</v>
      </c>
      <c r="G62" s="35">
        <f t="shared" si="8"/>
        <v>534.31507324512347</v>
      </c>
      <c r="H62" s="36">
        <f t="shared" si="3"/>
        <v>0</v>
      </c>
      <c r="I62" s="36">
        <f t="shared" si="3"/>
        <v>0</v>
      </c>
      <c r="J62" s="36">
        <f t="shared" si="3"/>
        <v>0</v>
      </c>
      <c r="K62" s="22">
        <f>Prices!G53</f>
        <v>100.01326421902355</v>
      </c>
      <c r="L62" s="37">
        <f>Prices!F26</f>
        <v>5.9358223546882991</v>
      </c>
      <c r="M62" s="22">
        <v>0</v>
      </c>
    </row>
    <row r="63" spans="1:19">
      <c r="A63" s="34">
        <f t="shared" si="9"/>
        <v>47484</v>
      </c>
      <c r="B63" s="35">
        <f t="shared" si="4"/>
        <v>0</v>
      </c>
      <c r="C63" s="18">
        <f t="shared" si="2"/>
        <v>0</v>
      </c>
      <c r="D63" s="35">
        <f t="shared" si="5"/>
        <v>0</v>
      </c>
      <c r="E63" s="35">
        <f t="shared" si="6"/>
        <v>558.07498628010364</v>
      </c>
      <c r="F63" s="18">
        <f t="shared" si="7"/>
        <v>558.07498628010364</v>
      </c>
      <c r="G63" s="35">
        <f t="shared" si="8"/>
        <v>488.3156129950907</v>
      </c>
      <c r="H63" s="36">
        <f t="shared" si="3"/>
        <v>0</v>
      </c>
      <c r="I63" s="36">
        <f t="shared" si="3"/>
        <v>0</v>
      </c>
      <c r="J63" s="36">
        <f t="shared" si="3"/>
        <v>0</v>
      </c>
      <c r="K63" s="22">
        <f>Prices!G54</f>
        <v>102.03628794347472</v>
      </c>
      <c r="L63" s="37">
        <f>Prices!F27</f>
        <v>6.0560032443373499</v>
      </c>
      <c r="M63" s="22">
        <v>0</v>
      </c>
    </row>
    <row r="64" spans="1:19">
      <c r="A64" s="34">
        <f t="shared" si="9"/>
        <v>47849</v>
      </c>
      <c r="B64" s="35">
        <f t="shared" si="4"/>
        <v>0</v>
      </c>
      <c r="C64" s="18">
        <f t="shared" si="2"/>
        <v>0</v>
      </c>
      <c r="D64" s="35">
        <f t="shared" si="5"/>
        <v>0</v>
      </c>
      <c r="E64" s="35">
        <f t="shared" si="6"/>
        <v>510.03002286176434</v>
      </c>
      <c r="F64" s="18">
        <f t="shared" si="7"/>
        <v>510.03002286176434</v>
      </c>
      <c r="G64" s="35">
        <f t="shared" si="8"/>
        <v>446.27627000404379</v>
      </c>
      <c r="H64" s="36">
        <f t="shared" si="3"/>
        <v>0</v>
      </c>
      <c r="I64" s="36">
        <f t="shared" si="3"/>
        <v>0</v>
      </c>
      <c r="J64" s="36">
        <f t="shared" si="3"/>
        <v>0</v>
      </c>
      <c r="K64" s="22">
        <f>Prices!G55</f>
        <v>104.06427214241491</v>
      </c>
      <c r="L64" s="37">
        <f>Prices!F28</f>
        <v>6.1779715326126983</v>
      </c>
      <c r="M64" s="22">
        <v>0</v>
      </c>
    </row>
    <row r="66" spans="1:14">
      <c r="A66" s="12" t="s">
        <v>141</v>
      </c>
      <c r="C66" s="30" t="s">
        <v>142</v>
      </c>
      <c r="D66" s="30" t="s">
        <v>142</v>
      </c>
      <c r="E66" s="30"/>
      <c r="F66" s="30"/>
      <c r="G66" s="30"/>
      <c r="H66" s="30"/>
      <c r="I66" s="30" t="s">
        <v>142</v>
      </c>
      <c r="J66" s="30" t="s">
        <v>142</v>
      </c>
      <c r="K66" s="30"/>
      <c r="L66" s="30"/>
      <c r="M66" s="30"/>
      <c r="N66" s="30"/>
    </row>
    <row r="67" spans="1:14">
      <c r="A67" s="12" t="s">
        <v>143</v>
      </c>
      <c r="B67" s="28" t="s">
        <v>159</v>
      </c>
      <c r="C67" s="30" t="s">
        <v>160</v>
      </c>
      <c r="D67" s="30" t="s">
        <v>160</v>
      </c>
      <c r="E67" s="30" t="s">
        <v>160</v>
      </c>
      <c r="F67" s="30" t="s">
        <v>160</v>
      </c>
      <c r="G67" s="30" t="s">
        <v>161</v>
      </c>
      <c r="H67" s="30" t="s">
        <v>161</v>
      </c>
      <c r="I67" s="30" t="s">
        <v>160</v>
      </c>
      <c r="J67" s="30" t="s">
        <v>160</v>
      </c>
      <c r="K67" s="30" t="s">
        <v>160</v>
      </c>
      <c r="L67" s="30" t="s">
        <v>160</v>
      </c>
      <c r="M67" s="30" t="s">
        <v>161</v>
      </c>
      <c r="N67" s="30" t="s">
        <v>161</v>
      </c>
    </row>
    <row r="68" spans="1:14">
      <c r="B68" s="30" t="s">
        <v>162</v>
      </c>
      <c r="C68" s="30" t="s">
        <v>163</v>
      </c>
      <c r="D68" s="30" t="s">
        <v>164</v>
      </c>
      <c r="E68" s="30" t="s">
        <v>163</v>
      </c>
      <c r="F68" s="30" t="s">
        <v>164</v>
      </c>
      <c r="G68" s="30" t="s">
        <v>163</v>
      </c>
      <c r="H68" s="30" t="s">
        <v>164</v>
      </c>
      <c r="I68" s="30" t="s">
        <v>163</v>
      </c>
      <c r="J68" s="30" t="s">
        <v>164</v>
      </c>
      <c r="K68" s="30" t="s">
        <v>163</v>
      </c>
      <c r="L68" s="30" t="s">
        <v>164</v>
      </c>
      <c r="M68" s="30" t="s">
        <v>163</v>
      </c>
      <c r="N68" s="30" t="s">
        <v>164</v>
      </c>
    </row>
    <row r="69" spans="1:14">
      <c r="B69" s="28" t="s">
        <v>165</v>
      </c>
      <c r="C69" s="30" t="s">
        <v>146</v>
      </c>
      <c r="D69" s="30" t="s">
        <v>146</v>
      </c>
      <c r="E69" s="30" t="s">
        <v>146</v>
      </c>
      <c r="F69" s="30" t="s">
        <v>146</v>
      </c>
      <c r="G69" s="30" t="s">
        <v>146</v>
      </c>
      <c r="H69" s="30" t="s">
        <v>146</v>
      </c>
      <c r="I69" s="30" t="s">
        <v>166</v>
      </c>
      <c r="J69" s="30" t="s">
        <v>166</v>
      </c>
      <c r="K69" s="30" t="s">
        <v>166</v>
      </c>
      <c r="L69" s="30" t="s">
        <v>166</v>
      </c>
      <c r="M69" s="30" t="s">
        <v>166</v>
      </c>
      <c r="N69" s="30" t="s">
        <v>166</v>
      </c>
    </row>
    <row r="70" spans="1:14">
      <c r="B70" s="28"/>
      <c r="C70" s="30" t="s">
        <v>167</v>
      </c>
      <c r="D70" s="30" t="s">
        <v>167</v>
      </c>
      <c r="E70" s="30" t="s">
        <v>167</v>
      </c>
      <c r="F70" s="30" t="s">
        <v>167</v>
      </c>
      <c r="G70" s="30" t="s">
        <v>167</v>
      </c>
      <c r="H70" s="30" t="s">
        <v>167</v>
      </c>
      <c r="I70" s="30" t="s">
        <v>168</v>
      </c>
      <c r="J70" s="30" t="s">
        <v>168</v>
      </c>
      <c r="K70" s="30" t="s">
        <v>168</v>
      </c>
      <c r="L70" s="30" t="s">
        <v>168</v>
      </c>
      <c r="M70" s="30" t="s">
        <v>168</v>
      </c>
      <c r="N70" s="30" t="s">
        <v>168</v>
      </c>
    </row>
    <row r="71" spans="1:14">
      <c r="A71" s="38">
        <f t="shared" ref="A71:A85" si="10">A50</f>
        <v>42736</v>
      </c>
      <c r="B71" s="15">
        <f>E10*E11</f>
        <v>3</v>
      </c>
      <c r="C71" s="32">
        <f>D71</f>
        <v>0</v>
      </c>
      <c r="D71" s="39">
        <f>IF(B51=0,0,IF(E$6=1,(E$4)/(E$5/365)*LN((E$4)/B51)/1000,(E$4)^E$6*((E$4)^(1-E$6)-B51^(1-E$6))/((1-E$6)*E$5/365)/1000))</f>
        <v>0</v>
      </c>
      <c r="E71" s="15">
        <f t="shared" ref="E71:E85" si="11">C71*E$11</f>
        <v>0</v>
      </c>
      <c r="F71" s="39">
        <f t="shared" ref="F71:F85" si="12">D71*E$11</f>
        <v>0</v>
      </c>
      <c r="G71" s="15">
        <f t="shared" ref="G71:G85" si="13">IF(E71=0,0,(H93-I93)/H93*E71)+C71*$K$27</f>
        <v>0</v>
      </c>
      <c r="H71" s="15">
        <f>G71</f>
        <v>0</v>
      </c>
      <c r="I71" s="32">
        <f>J71</f>
        <v>628.29499992808303</v>
      </c>
      <c r="J71" s="39">
        <f>IF(E51=0,0,IF(E$6=1,(E$4)/(E$5/365)*LN((E$4)/E51)/1000,(E$4)^E$6*((E$4)^(1-E$6)-E51^(1-E$6))/((1-E$6)*E$5/365)/1000))</f>
        <v>628.29499992808303</v>
      </c>
      <c r="K71" s="15">
        <f>I71*E$11</f>
        <v>628.29499992808303</v>
      </c>
      <c r="L71" s="39">
        <f>J71*E$11</f>
        <v>628.29499992808303</v>
      </c>
      <c r="M71" s="15">
        <f t="shared" ref="M71:M85" si="14">IF(K71=0,0,(H93-I93)/H93*K71)</f>
        <v>549.75812493707269</v>
      </c>
      <c r="N71" s="15">
        <f>M71</f>
        <v>549.75812493707269</v>
      </c>
    </row>
    <row r="72" spans="1:14">
      <c r="A72" s="38">
        <f t="shared" si="10"/>
        <v>43101</v>
      </c>
      <c r="B72" s="15">
        <f>IF(E52=0,0,B71)</f>
        <v>3</v>
      </c>
      <c r="C72" s="15">
        <f t="shared" ref="C72:C85" si="15">D72-D71</f>
        <v>0</v>
      </c>
      <c r="D72" s="39">
        <f>IF(B52=0,D71,IF(E$6=1,(E$4)/(E$5/365)*LN((E$4)/B52)/1000,(E$4)^E$6*((E$4)^(1-E$6)-B52^(1-E$6))/((1-E$6)*E$5/365)/1000))</f>
        <v>0</v>
      </c>
      <c r="E72" s="15">
        <f t="shared" si="11"/>
        <v>0</v>
      </c>
      <c r="F72" s="39">
        <f t="shared" si="12"/>
        <v>0</v>
      </c>
      <c r="G72" s="15">
        <f t="shared" si="13"/>
        <v>0</v>
      </c>
      <c r="H72" s="15">
        <f t="shared" ref="H72:H85" si="16">G72+H71</f>
        <v>0</v>
      </c>
      <c r="I72" s="15">
        <f t="shared" ref="I72:I85" si="17">J72-J71</f>
        <v>574.20475931600993</v>
      </c>
      <c r="J72" s="39">
        <f>IF(E52=0,J71,IF(E$6=1,(E$4)/(E$5/365)*LN((E$4)/E52)/1000,(E$4)^E$6*((E$4)^(1-E$6)-E52^(1-E$6))/((1-E$6)*E$5/365)/1000))</f>
        <v>1202.499759244093</v>
      </c>
      <c r="K72" s="15">
        <f t="shared" ref="K72:K85" si="18">I72*E$11</f>
        <v>574.20475931600993</v>
      </c>
      <c r="L72" s="39">
        <f t="shared" ref="L72:L85" si="19">J72*E$11</f>
        <v>1202.499759244093</v>
      </c>
      <c r="M72" s="15">
        <f t="shared" si="14"/>
        <v>502.42916440150873</v>
      </c>
      <c r="N72" s="15">
        <f t="shared" ref="N72:N85" si="20">M72+N71</f>
        <v>1052.1872893385814</v>
      </c>
    </row>
    <row r="73" spans="1:14">
      <c r="A73" s="38">
        <f t="shared" si="10"/>
        <v>43466</v>
      </c>
      <c r="B73" s="15">
        <f t="shared" ref="B73:B84" si="21">IF(E53=0,0,B72)</f>
        <v>3</v>
      </c>
      <c r="C73" s="15">
        <f t="shared" si="15"/>
        <v>0</v>
      </c>
      <c r="D73" s="39">
        <f t="shared" ref="D73:D83" si="22">IF(B53=0,D72,IF(E$6=1,(E$4)/(E$5/365)*LN((E$4)/B53)/1000,(E$4)^E$6*((E$4)^(1-E$6)-B53^(1-E$6))/((1-E$6)*E$5/365)/1000))</f>
        <v>0</v>
      </c>
      <c r="E73" s="15">
        <f t="shared" si="11"/>
        <v>0</v>
      </c>
      <c r="F73" s="39">
        <f t="shared" si="12"/>
        <v>0</v>
      </c>
      <c r="G73" s="15">
        <f t="shared" si="13"/>
        <v>0</v>
      </c>
      <c r="H73" s="15">
        <f t="shared" si="16"/>
        <v>0</v>
      </c>
      <c r="I73" s="15">
        <f t="shared" si="17"/>
        <v>524.77117541743428</v>
      </c>
      <c r="J73" s="39">
        <f t="shared" ref="J73:J84" si="23">IF(E53=0,J72,IF(E$6=1,(E$4)/(E$5/365)*LN((E$4)/E53)/1000,(E$4)^E$6*((E$4)^(1-E$6)-E53^(1-E$6))/((1-E$6)*E$5/365)/1000))</f>
        <v>1727.2709346615272</v>
      </c>
      <c r="K73" s="15">
        <f t="shared" si="18"/>
        <v>524.77117541743428</v>
      </c>
      <c r="L73" s="39">
        <f t="shared" si="19"/>
        <v>1727.2709346615272</v>
      </c>
      <c r="M73" s="15">
        <f t="shared" si="14"/>
        <v>459.17477849025505</v>
      </c>
      <c r="N73" s="15">
        <f t="shared" si="20"/>
        <v>1511.3620678288364</v>
      </c>
    </row>
    <row r="74" spans="1:14">
      <c r="A74" s="38">
        <f t="shared" si="10"/>
        <v>43831</v>
      </c>
      <c r="B74" s="15">
        <f t="shared" si="21"/>
        <v>3</v>
      </c>
      <c r="C74" s="15">
        <f t="shared" si="15"/>
        <v>0</v>
      </c>
      <c r="D74" s="39">
        <f t="shared" si="22"/>
        <v>0</v>
      </c>
      <c r="E74" s="15">
        <f t="shared" si="11"/>
        <v>0</v>
      </c>
      <c r="F74" s="39">
        <f t="shared" si="12"/>
        <v>0</v>
      </c>
      <c r="G74" s="15">
        <f t="shared" si="13"/>
        <v>0</v>
      </c>
      <c r="H74" s="15">
        <f t="shared" si="16"/>
        <v>0</v>
      </c>
      <c r="I74" s="15">
        <f t="shared" si="17"/>
        <v>480.84889752875392</v>
      </c>
      <c r="J74" s="39">
        <f t="shared" si="23"/>
        <v>2208.1198321902812</v>
      </c>
      <c r="K74" s="15">
        <f t="shared" si="18"/>
        <v>480.84889752875392</v>
      </c>
      <c r="L74" s="39">
        <f t="shared" si="19"/>
        <v>2208.1198321902812</v>
      </c>
      <c r="M74" s="15">
        <f t="shared" si="14"/>
        <v>420.74278533765971</v>
      </c>
      <c r="N74" s="15">
        <f t="shared" si="20"/>
        <v>1932.104853166496</v>
      </c>
    </row>
    <row r="75" spans="1:14">
      <c r="A75" s="38">
        <f t="shared" si="10"/>
        <v>44197</v>
      </c>
      <c r="B75" s="15">
        <f t="shared" si="21"/>
        <v>3</v>
      </c>
      <c r="C75" s="15">
        <f t="shared" si="15"/>
        <v>0</v>
      </c>
      <c r="D75" s="39">
        <f t="shared" si="22"/>
        <v>0</v>
      </c>
      <c r="E75" s="15">
        <f t="shared" si="11"/>
        <v>0</v>
      </c>
      <c r="F75" s="39">
        <f t="shared" si="12"/>
        <v>0</v>
      </c>
      <c r="G75" s="15">
        <f t="shared" si="13"/>
        <v>0</v>
      </c>
      <c r="H75" s="15">
        <f t="shared" si="16"/>
        <v>0</v>
      </c>
      <c r="I75" s="15">
        <f t="shared" si="17"/>
        <v>438.19682464874086</v>
      </c>
      <c r="J75" s="39">
        <f t="shared" si="23"/>
        <v>2646.316656839022</v>
      </c>
      <c r="K75" s="15">
        <f t="shared" si="18"/>
        <v>438.19682464874086</v>
      </c>
      <c r="L75" s="39">
        <f t="shared" si="19"/>
        <v>2646.316656839022</v>
      </c>
      <c r="M75" s="15">
        <f t="shared" si="14"/>
        <v>383.42222156764825</v>
      </c>
      <c r="N75" s="15">
        <f t="shared" si="20"/>
        <v>2315.5270747341442</v>
      </c>
    </row>
    <row r="76" spans="1:14">
      <c r="A76" s="38">
        <f t="shared" si="10"/>
        <v>44562</v>
      </c>
      <c r="B76" s="15">
        <f t="shared" si="21"/>
        <v>3</v>
      </c>
      <c r="C76" s="15">
        <f t="shared" si="15"/>
        <v>0</v>
      </c>
      <c r="D76" s="39">
        <f t="shared" si="22"/>
        <v>0</v>
      </c>
      <c r="E76" s="15">
        <f t="shared" si="11"/>
        <v>0</v>
      </c>
      <c r="F76" s="39">
        <f t="shared" si="12"/>
        <v>0</v>
      </c>
      <c r="G76" s="15">
        <f t="shared" si="13"/>
        <v>0</v>
      </c>
      <c r="H76" s="15">
        <f t="shared" si="16"/>
        <v>0</v>
      </c>
      <c r="I76" s="15">
        <f t="shared" si="17"/>
        <v>400.47223399720042</v>
      </c>
      <c r="J76" s="39">
        <f t="shared" si="23"/>
        <v>3046.7888908362224</v>
      </c>
      <c r="K76" s="15">
        <f t="shared" si="18"/>
        <v>400.47223399720042</v>
      </c>
      <c r="L76" s="39">
        <f t="shared" si="19"/>
        <v>3046.7888908362224</v>
      </c>
      <c r="M76" s="15">
        <f t="shared" si="14"/>
        <v>350.41320474755037</v>
      </c>
      <c r="N76" s="15">
        <f t="shared" si="20"/>
        <v>2665.9402794816947</v>
      </c>
    </row>
    <row r="77" spans="1:14">
      <c r="A77" s="38">
        <f t="shared" si="10"/>
        <v>44927</v>
      </c>
      <c r="B77" s="15">
        <f t="shared" si="21"/>
        <v>3</v>
      </c>
      <c r="C77" s="15">
        <f t="shared" si="15"/>
        <v>0</v>
      </c>
      <c r="D77" s="39">
        <f t="shared" si="22"/>
        <v>0</v>
      </c>
      <c r="E77" s="15">
        <f t="shared" si="11"/>
        <v>0</v>
      </c>
      <c r="F77" s="39">
        <f t="shared" si="12"/>
        <v>0</v>
      </c>
      <c r="G77" s="15">
        <f t="shared" si="13"/>
        <v>0</v>
      </c>
      <c r="H77" s="15">
        <f t="shared" si="16"/>
        <v>0</v>
      </c>
      <c r="I77" s="15">
        <f t="shared" si="17"/>
        <v>365.99537281281664</v>
      </c>
      <c r="J77" s="39">
        <f t="shared" si="23"/>
        <v>3412.7842636490391</v>
      </c>
      <c r="K77" s="15">
        <f t="shared" si="18"/>
        <v>365.99537281281664</v>
      </c>
      <c r="L77" s="39">
        <f t="shared" si="19"/>
        <v>3412.7842636490391</v>
      </c>
      <c r="M77" s="15">
        <f t="shared" si="14"/>
        <v>320.24595121121456</v>
      </c>
      <c r="N77" s="15">
        <f t="shared" si="20"/>
        <v>2986.1862306929092</v>
      </c>
    </row>
    <row r="78" spans="1:14">
      <c r="A78" s="38">
        <f t="shared" si="10"/>
        <v>45292</v>
      </c>
      <c r="B78" s="15">
        <f t="shared" si="21"/>
        <v>3</v>
      </c>
      <c r="C78" s="15">
        <f t="shared" si="15"/>
        <v>0</v>
      </c>
      <c r="D78" s="39">
        <f t="shared" si="22"/>
        <v>0</v>
      </c>
      <c r="E78" s="15">
        <f t="shared" si="11"/>
        <v>0</v>
      </c>
      <c r="F78" s="39">
        <f t="shared" si="12"/>
        <v>0</v>
      </c>
      <c r="G78" s="15">
        <f t="shared" si="13"/>
        <v>0</v>
      </c>
      <c r="H78" s="15">
        <f t="shared" si="16"/>
        <v>0</v>
      </c>
      <c r="I78" s="15">
        <f t="shared" si="17"/>
        <v>335.3623060140003</v>
      </c>
      <c r="J78" s="39">
        <f t="shared" si="23"/>
        <v>3748.1465696630394</v>
      </c>
      <c r="K78" s="15">
        <f t="shared" si="18"/>
        <v>335.3623060140003</v>
      </c>
      <c r="L78" s="39">
        <f t="shared" si="19"/>
        <v>3748.1465696630394</v>
      </c>
      <c r="M78" s="15">
        <f t="shared" si="14"/>
        <v>293.44201776225026</v>
      </c>
      <c r="N78" s="15">
        <f t="shared" si="20"/>
        <v>3279.6282484551593</v>
      </c>
    </row>
    <row r="79" spans="1:14">
      <c r="A79" s="38">
        <f t="shared" si="10"/>
        <v>45658</v>
      </c>
      <c r="B79" s="15">
        <f t="shared" si="21"/>
        <v>3</v>
      </c>
      <c r="C79" s="15">
        <f t="shared" si="15"/>
        <v>0</v>
      </c>
      <c r="D79" s="39">
        <f t="shared" si="22"/>
        <v>0</v>
      </c>
      <c r="E79" s="15">
        <f t="shared" si="11"/>
        <v>0</v>
      </c>
      <c r="F79" s="39">
        <f t="shared" si="12"/>
        <v>0</v>
      </c>
      <c r="G79" s="15">
        <f t="shared" si="13"/>
        <v>0</v>
      </c>
      <c r="H79" s="15">
        <f t="shared" si="16"/>
        <v>0</v>
      </c>
      <c r="I79" s="15">
        <f t="shared" si="17"/>
        <v>305.61512848935308</v>
      </c>
      <c r="J79" s="39">
        <f t="shared" si="23"/>
        <v>4053.7616981523925</v>
      </c>
      <c r="K79" s="15">
        <f t="shared" si="18"/>
        <v>305.61512848935308</v>
      </c>
      <c r="L79" s="39">
        <f t="shared" si="19"/>
        <v>4053.7616981523925</v>
      </c>
      <c r="M79" s="15">
        <f t="shared" si="14"/>
        <v>267.41323742818395</v>
      </c>
      <c r="N79" s="15">
        <f t="shared" si="20"/>
        <v>3547.0414858833433</v>
      </c>
    </row>
    <row r="80" spans="1:14">
      <c r="A80" s="38">
        <f t="shared" si="10"/>
        <v>46023</v>
      </c>
      <c r="B80" s="15">
        <f t="shared" si="21"/>
        <v>3</v>
      </c>
      <c r="C80" s="15">
        <f t="shared" si="15"/>
        <v>0</v>
      </c>
      <c r="D80" s="39">
        <f t="shared" si="22"/>
        <v>0</v>
      </c>
      <c r="E80" s="15">
        <f t="shared" si="11"/>
        <v>0</v>
      </c>
      <c r="F80" s="39">
        <f t="shared" si="12"/>
        <v>0</v>
      </c>
      <c r="G80" s="15">
        <f t="shared" si="13"/>
        <v>0</v>
      </c>
      <c r="H80" s="15">
        <f t="shared" si="16"/>
        <v>0</v>
      </c>
      <c r="I80" s="15">
        <f t="shared" si="17"/>
        <v>279.30456444448555</v>
      </c>
      <c r="J80" s="39">
        <f t="shared" si="23"/>
        <v>4333.066262596878</v>
      </c>
      <c r="K80" s="15">
        <f t="shared" si="18"/>
        <v>279.30456444448555</v>
      </c>
      <c r="L80" s="39">
        <f t="shared" si="19"/>
        <v>4333.066262596878</v>
      </c>
      <c r="M80" s="15">
        <f t="shared" si="14"/>
        <v>244.39149388892486</v>
      </c>
      <c r="N80" s="15">
        <f t="shared" si="20"/>
        <v>3791.432979772268</v>
      </c>
    </row>
    <row r="81" spans="1:18">
      <c r="A81" s="38">
        <f t="shared" si="10"/>
        <v>46388</v>
      </c>
      <c r="B81" s="15">
        <f t="shared" si="21"/>
        <v>3</v>
      </c>
      <c r="C81" s="15">
        <f t="shared" si="15"/>
        <v>0</v>
      </c>
      <c r="D81" s="39">
        <f t="shared" si="22"/>
        <v>0</v>
      </c>
      <c r="E81" s="15">
        <f t="shared" si="11"/>
        <v>0</v>
      </c>
      <c r="F81" s="39">
        <f t="shared" si="12"/>
        <v>0</v>
      </c>
      <c r="G81" s="15">
        <f t="shared" si="13"/>
        <v>0</v>
      </c>
      <c r="H81" s="15">
        <f t="shared" si="16"/>
        <v>0</v>
      </c>
      <c r="I81" s="15">
        <f t="shared" si="17"/>
        <v>255.25909042896365</v>
      </c>
      <c r="J81" s="39">
        <f t="shared" si="23"/>
        <v>4588.3253530258417</v>
      </c>
      <c r="K81" s="15">
        <f t="shared" si="18"/>
        <v>255.25909042896365</v>
      </c>
      <c r="L81" s="39">
        <f t="shared" si="19"/>
        <v>4588.3253530258417</v>
      </c>
      <c r="M81" s="15">
        <f t="shared" si="14"/>
        <v>223.35170412534316</v>
      </c>
      <c r="N81" s="15">
        <f t="shared" si="20"/>
        <v>4014.7846838976111</v>
      </c>
    </row>
    <row r="82" spans="1:18">
      <c r="A82" s="38">
        <f t="shared" si="10"/>
        <v>46753</v>
      </c>
      <c r="B82" s="15">
        <f t="shared" si="21"/>
        <v>3</v>
      </c>
      <c r="C82" s="15">
        <f t="shared" si="15"/>
        <v>0</v>
      </c>
      <c r="D82" s="39">
        <f t="shared" si="22"/>
        <v>0</v>
      </c>
      <c r="E82" s="15">
        <f t="shared" si="11"/>
        <v>0</v>
      </c>
      <c r="F82" s="39">
        <f t="shared" si="12"/>
        <v>0</v>
      </c>
      <c r="G82" s="15">
        <f t="shared" si="13"/>
        <v>0</v>
      </c>
      <c r="H82" s="15">
        <f t="shared" si="16"/>
        <v>0</v>
      </c>
      <c r="I82" s="15">
        <f t="shared" si="17"/>
        <v>233.89442478300043</v>
      </c>
      <c r="J82" s="39">
        <f t="shared" si="23"/>
        <v>4822.2197778088421</v>
      </c>
      <c r="K82" s="15">
        <f t="shared" si="18"/>
        <v>233.89442478300043</v>
      </c>
      <c r="L82" s="39">
        <f t="shared" si="19"/>
        <v>4822.2197778088421</v>
      </c>
      <c r="M82" s="15">
        <f t="shared" si="14"/>
        <v>204.65762168512535</v>
      </c>
      <c r="N82" s="15">
        <f t="shared" si="20"/>
        <v>4219.4423055827365</v>
      </c>
    </row>
    <row r="83" spans="1:18">
      <c r="A83" s="38">
        <f t="shared" si="10"/>
        <v>47119</v>
      </c>
      <c r="B83" s="15">
        <f t="shared" si="21"/>
        <v>3</v>
      </c>
      <c r="C83" s="15">
        <f t="shared" si="15"/>
        <v>0</v>
      </c>
      <c r="D83" s="39">
        <f t="shared" si="22"/>
        <v>0</v>
      </c>
      <c r="E83" s="15">
        <f t="shared" si="11"/>
        <v>0</v>
      </c>
      <c r="F83" s="39">
        <f t="shared" si="12"/>
        <v>0</v>
      </c>
      <c r="G83" s="15">
        <f t="shared" si="13"/>
        <v>0</v>
      </c>
      <c r="H83" s="15">
        <f t="shared" si="16"/>
        <v>0</v>
      </c>
      <c r="I83" s="15">
        <f t="shared" si="17"/>
        <v>213.14761200388511</v>
      </c>
      <c r="J83" s="39">
        <f t="shared" si="23"/>
        <v>5035.3673898127272</v>
      </c>
      <c r="K83" s="15">
        <f t="shared" si="18"/>
        <v>213.14761200388511</v>
      </c>
      <c r="L83" s="39">
        <f t="shared" si="19"/>
        <v>5035.3673898127272</v>
      </c>
      <c r="M83" s="15">
        <f t="shared" si="14"/>
        <v>186.50416050339948</v>
      </c>
      <c r="N83" s="15">
        <f t="shared" si="20"/>
        <v>4405.9464660861358</v>
      </c>
    </row>
    <row r="84" spans="1:18">
      <c r="A84" s="38">
        <f t="shared" si="10"/>
        <v>47484</v>
      </c>
      <c r="B84" s="15">
        <f t="shared" si="21"/>
        <v>3</v>
      </c>
      <c r="C84" s="15">
        <f t="shared" si="15"/>
        <v>0</v>
      </c>
      <c r="D84" s="39">
        <f>IF(B64=0,D83,IF(E$6=1,(E$4)/(E$5/365)*LN((E$4)/B64)/1000,(E$4)^E$6*((E$4)^(1-E$6)-B64^(1-E$6))/((1-E$6)*E$5/365)/1000))</f>
        <v>0</v>
      </c>
      <c r="E84" s="15">
        <f t="shared" si="11"/>
        <v>0</v>
      </c>
      <c r="F84" s="39">
        <f t="shared" si="12"/>
        <v>0</v>
      </c>
      <c r="G84" s="15">
        <f t="shared" si="13"/>
        <v>0</v>
      </c>
      <c r="H84" s="15">
        <f t="shared" si="16"/>
        <v>0</v>
      </c>
      <c r="I84" s="15">
        <f t="shared" si="17"/>
        <v>194.79762414706784</v>
      </c>
      <c r="J84" s="39">
        <f t="shared" si="23"/>
        <v>5230.165013959795</v>
      </c>
      <c r="K84" s="15">
        <f t="shared" si="18"/>
        <v>194.79762414706784</v>
      </c>
      <c r="L84" s="39">
        <f t="shared" si="19"/>
        <v>5230.165013959795</v>
      </c>
      <c r="M84" s="15">
        <f t="shared" si="14"/>
        <v>170.44792112868436</v>
      </c>
      <c r="N84" s="15">
        <f t="shared" si="20"/>
        <v>4576.3943872148202</v>
      </c>
    </row>
    <row r="85" spans="1:18">
      <c r="A85" s="38">
        <f t="shared" si="10"/>
        <v>47849</v>
      </c>
      <c r="B85" s="15">
        <f>IF(E64=0,0,B84)</f>
        <v>3</v>
      </c>
      <c r="C85" s="15">
        <f t="shared" si="15"/>
        <v>0</v>
      </c>
      <c r="D85" s="39">
        <f>IF(B64=0,D84,IF(E$6=1,(E$4)/(E$5/365)*LN((E$4)/E7)/1000,(E$4)^E$6*((E$4)^(1-E$6)-E7^(1-E$6))/((1-E$6)*E$5/365)/1000))</f>
        <v>0</v>
      </c>
      <c r="E85" s="15">
        <f t="shared" si="11"/>
        <v>0</v>
      </c>
      <c r="F85" s="39">
        <f t="shared" si="12"/>
        <v>0</v>
      </c>
      <c r="G85" s="15">
        <f t="shared" si="13"/>
        <v>0</v>
      </c>
      <c r="H85" s="15">
        <f t="shared" si="16"/>
        <v>0</v>
      </c>
      <c r="I85" s="15">
        <f t="shared" si="17"/>
        <v>1735.5529709792927</v>
      </c>
      <c r="J85" s="39">
        <f>IF(E64=0,J84,IF(E$6=1,(E$4)/(E$5/365)*LN((E$4)/E7)/1000,(E$4)^E$6*((E$4)^(1-E$6)-E7^(1-E$6))/((1-E$6)*E$5/365)/1000))</f>
        <v>6965.7179849390877</v>
      </c>
      <c r="K85" s="15">
        <f t="shared" si="18"/>
        <v>1735.5529709792927</v>
      </c>
      <c r="L85" s="39">
        <f t="shared" si="19"/>
        <v>6965.7179849390877</v>
      </c>
      <c r="M85" s="15">
        <f t="shared" si="14"/>
        <v>1518.608849606881</v>
      </c>
      <c r="N85" s="15">
        <f t="shared" si="20"/>
        <v>6095.0032368217016</v>
      </c>
    </row>
    <row r="86" spans="1:18">
      <c r="A86" s="38"/>
    </row>
    <row r="87" spans="1:18">
      <c r="A87" s="12" t="s">
        <v>141</v>
      </c>
      <c r="B87" s="30" t="s">
        <v>142</v>
      </c>
      <c r="C87" s="30" t="s">
        <v>142</v>
      </c>
      <c r="D87" s="30"/>
      <c r="E87" s="30"/>
      <c r="F87" s="30"/>
      <c r="G87" s="30"/>
    </row>
    <row r="88" spans="1:18">
      <c r="A88" s="12" t="s">
        <v>143</v>
      </c>
      <c r="B88" s="30" t="s">
        <v>160</v>
      </c>
      <c r="C88" s="30" t="s">
        <v>160</v>
      </c>
      <c r="D88" s="30" t="s">
        <v>160</v>
      </c>
      <c r="E88" s="30" t="s">
        <v>160</v>
      </c>
      <c r="F88" s="30" t="s">
        <v>161</v>
      </c>
      <c r="G88" s="30" t="s">
        <v>161</v>
      </c>
      <c r="H88" s="30"/>
      <c r="I88" s="30"/>
      <c r="J88" s="30"/>
      <c r="K88" s="30"/>
      <c r="L88" s="30"/>
      <c r="M88" s="30"/>
      <c r="N88" s="30"/>
    </row>
    <row r="89" spans="1:18">
      <c r="B89" s="30" t="s">
        <v>163</v>
      </c>
      <c r="C89" s="30" t="s">
        <v>164</v>
      </c>
      <c r="D89" s="30" t="s">
        <v>163</v>
      </c>
      <c r="E89" s="30" t="s">
        <v>164</v>
      </c>
      <c r="F89" s="30" t="s">
        <v>163</v>
      </c>
      <c r="G89" s="30" t="s">
        <v>164</v>
      </c>
      <c r="H89" s="30" t="s">
        <v>169</v>
      </c>
      <c r="I89" s="28" t="s">
        <v>170</v>
      </c>
      <c r="J89" s="28" t="s">
        <v>170</v>
      </c>
      <c r="K89" s="28" t="s">
        <v>171</v>
      </c>
      <c r="L89" s="28" t="s">
        <v>172</v>
      </c>
      <c r="M89" s="28" t="s">
        <v>173</v>
      </c>
      <c r="N89" s="30" t="s">
        <v>174</v>
      </c>
    </row>
    <row r="90" spans="1:18">
      <c r="B90" s="30" t="s">
        <v>148</v>
      </c>
      <c r="C90" s="30" t="s">
        <v>148</v>
      </c>
      <c r="D90" s="30" t="s">
        <v>148</v>
      </c>
      <c r="E90" s="30" t="s">
        <v>148</v>
      </c>
      <c r="F90" s="30" t="s">
        <v>148</v>
      </c>
      <c r="G90" s="30" t="s">
        <v>148</v>
      </c>
      <c r="H90" s="28" t="s">
        <v>175</v>
      </c>
      <c r="I90" s="30" t="s">
        <v>176</v>
      </c>
      <c r="J90" s="30" t="s">
        <v>177</v>
      </c>
      <c r="K90" s="28" t="s">
        <v>178</v>
      </c>
      <c r="L90" s="28" t="s">
        <v>179</v>
      </c>
      <c r="M90" s="28" t="s">
        <v>178</v>
      </c>
      <c r="N90" s="28" t="s">
        <v>180</v>
      </c>
      <c r="Q90" s="16"/>
    </row>
    <row r="91" spans="1:18">
      <c r="B91" s="30" t="s">
        <v>181</v>
      </c>
      <c r="C91" s="30" t="s">
        <v>181</v>
      </c>
      <c r="D91" s="30" t="s">
        <v>181</v>
      </c>
      <c r="E91" s="30" t="s">
        <v>181</v>
      </c>
      <c r="F91" s="30" t="s">
        <v>181</v>
      </c>
      <c r="G91" s="30" t="s">
        <v>181</v>
      </c>
      <c r="H91" s="28" t="s">
        <v>55</v>
      </c>
      <c r="I91" s="28" t="s">
        <v>55</v>
      </c>
      <c r="J91" s="28" t="s">
        <v>55</v>
      </c>
      <c r="K91" s="28" t="s">
        <v>55</v>
      </c>
      <c r="L91" s="28" t="s">
        <v>55</v>
      </c>
      <c r="M91" s="28" t="s">
        <v>55</v>
      </c>
      <c r="N91" s="28" t="s">
        <v>55</v>
      </c>
    </row>
    <row r="92" spans="1:18">
      <c r="B92" s="30"/>
      <c r="C92" s="30"/>
      <c r="D92" s="30"/>
      <c r="E92" s="30"/>
      <c r="F92" s="30"/>
      <c r="G92" s="30"/>
      <c r="H92" s="28"/>
      <c r="I92" s="28"/>
      <c r="J92" s="28"/>
      <c r="K92" s="28"/>
      <c r="L92" s="28"/>
      <c r="M92" s="41">
        <f>E24</f>
        <v>4120</v>
      </c>
      <c r="N92" s="41">
        <f t="shared" ref="N92:N107" si="24">L92-M92</f>
        <v>-4120</v>
      </c>
    </row>
    <row r="93" spans="1:18">
      <c r="A93" s="38">
        <f t="shared" ref="A93:A107" si="25">A71</f>
        <v>42736</v>
      </c>
      <c r="B93" s="18">
        <f t="shared" ref="B93:G107" si="26">I71*$G$9*1000</f>
        <v>0</v>
      </c>
      <c r="C93" s="18">
        <f t="shared" si="26"/>
        <v>0</v>
      </c>
      <c r="D93" s="18">
        <f t="shared" si="26"/>
        <v>0</v>
      </c>
      <c r="E93" s="18">
        <f t="shared" si="26"/>
        <v>0</v>
      </c>
      <c r="F93" s="18">
        <f t="shared" si="26"/>
        <v>0</v>
      </c>
      <c r="G93" s="18">
        <f t="shared" si="26"/>
        <v>0</v>
      </c>
      <c r="H93" s="41">
        <f t="shared" ref="H93:H107" si="27">E71*K50+K71*L50+D93*M50/1000</f>
        <v>3060.9790561565869</v>
      </c>
      <c r="I93" s="41">
        <f t="shared" ref="I93:I107" si="28">E71*K50*E$27+E71*(K50-E$14)*G$27+K71*L50*E$27+K71*(L50-E$15)*G$27+D93*M50*(E$27+G$27)/1000</f>
        <v>382.62238201957337</v>
      </c>
      <c r="J93" s="41">
        <f t="shared" ref="J93:J107" si="29">C71*K50*I$27+C71*(K50-E$14)*K$27+I71*L50*I$27+I71*(L50-E$15)*K$27+B93*M50*(I$27+K$27)/1000</f>
        <v>0</v>
      </c>
      <c r="K93" s="41">
        <f>IF(H93=0,0,((B71*E$16+E$19)*12+E71*(E$17+E$20)+K71*(E$18+E$21))*(1+E$22)^((A50-A$50)/365))</f>
        <v>277.07374998202079</v>
      </c>
      <c r="L93" s="41">
        <f t="shared" ref="L93:L107" si="30">H93+J93-I93-K93</f>
        <v>2401.282924154993</v>
      </c>
      <c r="M93" s="41">
        <f t="shared" ref="M93:M105" si="31">IF(B72&lt;B71,E$25*(1+E$22/365)^(A50-A$50),0)</f>
        <v>0</v>
      </c>
      <c r="N93" s="41">
        <f t="shared" si="24"/>
        <v>2401.282924154993</v>
      </c>
      <c r="O93" s="40"/>
      <c r="P93" s="40"/>
      <c r="Q93" s="40"/>
      <c r="R93" s="40"/>
    </row>
    <row r="94" spans="1:18">
      <c r="A94" s="38">
        <f t="shared" si="25"/>
        <v>43101</v>
      </c>
      <c r="B94" s="18">
        <f t="shared" si="26"/>
        <v>0</v>
      </c>
      <c r="C94" s="18">
        <f t="shared" si="26"/>
        <v>0</v>
      </c>
      <c r="D94" s="18">
        <f t="shared" si="26"/>
        <v>0</v>
      </c>
      <c r="E94" s="18">
        <f t="shared" si="26"/>
        <v>0</v>
      </c>
      <c r="F94" s="18">
        <f t="shared" si="26"/>
        <v>0</v>
      </c>
      <c r="G94" s="18">
        <f t="shared" si="26"/>
        <v>0</v>
      </c>
      <c r="H94" s="41">
        <f t="shared" si="27"/>
        <v>2582.7968609217878</v>
      </c>
      <c r="I94" s="41">
        <f t="shared" si="28"/>
        <v>322.84960761522348</v>
      </c>
      <c r="J94" s="41">
        <f t="shared" si="29"/>
        <v>0</v>
      </c>
      <c r="K94" s="41">
        <f>IF(H94=0,0,((B72*E$16+E$19)*12+E72*(E$17+E$20)+K72*(E$18+E$21))*(1+E$22)^((A51-A$50)/365))</f>
        <v>268.82221362558255</v>
      </c>
      <c r="L94" s="41">
        <f t="shared" si="30"/>
        <v>1991.1250396809819</v>
      </c>
      <c r="M94" s="41">
        <f t="shared" si="31"/>
        <v>0</v>
      </c>
      <c r="N94" s="41">
        <f t="shared" si="24"/>
        <v>1991.1250396809819</v>
      </c>
      <c r="O94" s="40"/>
      <c r="P94" s="40"/>
      <c r="Q94" s="40"/>
      <c r="R94" s="40"/>
    </row>
    <row r="95" spans="1:18">
      <c r="A95" s="38">
        <f t="shared" si="25"/>
        <v>43466</v>
      </c>
      <c r="B95" s="18">
        <f t="shared" si="26"/>
        <v>0</v>
      </c>
      <c r="C95" s="18">
        <f t="shared" si="26"/>
        <v>0</v>
      </c>
      <c r="D95" s="18">
        <f t="shared" si="26"/>
        <v>0</v>
      </c>
      <c r="E95" s="18">
        <f t="shared" si="26"/>
        <v>0</v>
      </c>
      <c r="F95" s="18">
        <f t="shared" si="26"/>
        <v>0</v>
      </c>
      <c r="G95" s="18">
        <f t="shared" si="26"/>
        <v>0</v>
      </c>
      <c r="H95" s="41">
        <f t="shared" si="27"/>
        <v>2386.2586878706152</v>
      </c>
      <c r="I95" s="41">
        <f t="shared" si="28"/>
        <v>298.2823359838269</v>
      </c>
      <c r="J95" s="41">
        <f t="shared" si="29"/>
        <v>0</v>
      </c>
      <c r="K95" s="41">
        <f t="shared" ref="K95:K107" si="32">IF(H95=0,0,((B73*E$16+E$19)*12+E73*(E$17+E$20)+K73*(E$18+E$21))*(1+E$22)^((A52-A$50)/365))</f>
        <v>261.34098272607463</v>
      </c>
      <c r="L95" s="41">
        <f t="shared" si="30"/>
        <v>1826.6353691607139</v>
      </c>
      <c r="M95" s="41">
        <f t="shared" si="31"/>
        <v>0</v>
      </c>
      <c r="N95" s="41">
        <f t="shared" si="24"/>
        <v>1826.6353691607139</v>
      </c>
      <c r="O95" s="40"/>
      <c r="P95" s="40"/>
      <c r="Q95" s="40"/>
      <c r="R95" s="40"/>
    </row>
    <row r="96" spans="1:18">
      <c r="A96" s="38">
        <f t="shared" si="25"/>
        <v>43831</v>
      </c>
      <c r="B96" s="18">
        <f t="shared" si="26"/>
        <v>0</v>
      </c>
      <c r="C96" s="18">
        <f t="shared" si="26"/>
        <v>0</v>
      </c>
      <c r="D96" s="18">
        <f t="shared" si="26"/>
        <v>0</v>
      </c>
      <c r="E96" s="18">
        <f t="shared" si="26"/>
        <v>0</v>
      </c>
      <c r="F96" s="18">
        <f t="shared" si="26"/>
        <v>0</v>
      </c>
      <c r="G96" s="18">
        <f t="shared" si="26"/>
        <v>0</v>
      </c>
      <c r="H96" s="41">
        <f t="shared" si="27"/>
        <v>2311.8092179477862</v>
      </c>
      <c r="I96" s="41">
        <f t="shared" si="28"/>
        <v>288.97615224347328</v>
      </c>
      <c r="J96" s="41">
        <f t="shared" si="29"/>
        <v>0</v>
      </c>
      <c r="K96" s="41">
        <f t="shared" si="32"/>
        <v>254.91513421217346</v>
      </c>
      <c r="L96" s="41">
        <f t="shared" si="30"/>
        <v>1767.9179314921396</v>
      </c>
      <c r="M96" s="41">
        <f t="shared" si="31"/>
        <v>0</v>
      </c>
      <c r="N96" s="41">
        <f t="shared" si="24"/>
        <v>1767.9179314921396</v>
      </c>
      <c r="O96" s="40"/>
      <c r="P96" s="40"/>
      <c r="Q96" s="40"/>
      <c r="R96" s="40"/>
    </row>
    <row r="97" spans="1:18">
      <c r="A97" s="38">
        <f t="shared" si="25"/>
        <v>44197</v>
      </c>
      <c r="B97" s="18">
        <f t="shared" si="26"/>
        <v>0</v>
      </c>
      <c r="C97" s="18">
        <f t="shared" si="26"/>
        <v>0</v>
      </c>
      <c r="D97" s="18">
        <f t="shared" si="26"/>
        <v>0</v>
      </c>
      <c r="E97" s="18">
        <f t="shared" si="26"/>
        <v>0</v>
      </c>
      <c r="F97" s="18">
        <f t="shared" si="26"/>
        <v>0</v>
      </c>
      <c r="G97" s="18">
        <f t="shared" si="26"/>
        <v>0</v>
      </c>
      <c r="H97" s="41">
        <f t="shared" si="27"/>
        <v>2172.6707246935875</v>
      </c>
      <c r="I97" s="41">
        <f t="shared" si="28"/>
        <v>271.58384058669844</v>
      </c>
      <c r="J97" s="41">
        <f t="shared" si="29"/>
        <v>0</v>
      </c>
      <c r="K97" s="41">
        <f t="shared" si="32"/>
        <v>248.48492393148172</v>
      </c>
      <c r="L97" s="41">
        <f t="shared" si="30"/>
        <v>1652.6019601754074</v>
      </c>
      <c r="M97" s="41">
        <f t="shared" si="31"/>
        <v>0</v>
      </c>
      <c r="N97" s="41">
        <f t="shared" si="24"/>
        <v>1652.6019601754074</v>
      </c>
      <c r="O97" s="40"/>
      <c r="P97" s="40"/>
      <c r="Q97" s="40"/>
      <c r="R97" s="40"/>
    </row>
    <row r="98" spans="1:18">
      <c r="A98" s="38">
        <f t="shared" si="25"/>
        <v>44562</v>
      </c>
      <c r="B98" s="18">
        <f t="shared" si="26"/>
        <v>0</v>
      </c>
      <c r="C98" s="18">
        <f t="shared" si="26"/>
        <v>0</v>
      </c>
      <c r="D98" s="18">
        <f t="shared" si="26"/>
        <v>0</v>
      </c>
      <c r="E98" s="18">
        <f t="shared" si="26"/>
        <v>0</v>
      </c>
      <c r="F98" s="18">
        <f t="shared" si="26"/>
        <v>0</v>
      </c>
      <c r="G98" s="18">
        <f t="shared" si="26"/>
        <v>0</v>
      </c>
      <c r="H98" s="41">
        <f t="shared" si="27"/>
        <v>2045.0486842111343</v>
      </c>
      <c r="I98" s="41">
        <f t="shared" si="28"/>
        <v>255.63108552639179</v>
      </c>
      <c r="J98" s="41">
        <f t="shared" si="29"/>
        <v>0</v>
      </c>
      <c r="K98" s="41">
        <f t="shared" si="32"/>
        <v>243.04130837712066</v>
      </c>
      <c r="L98" s="41">
        <f t="shared" si="30"/>
        <v>1546.3762903076217</v>
      </c>
      <c r="M98" s="41">
        <f t="shared" si="31"/>
        <v>0</v>
      </c>
      <c r="N98" s="41">
        <f t="shared" si="24"/>
        <v>1546.3762903076217</v>
      </c>
      <c r="O98" s="40"/>
      <c r="P98" s="40"/>
      <c r="Q98" s="40"/>
      <c r="R98" s="40"/>
    </row>
    <row r="99" spans="1:18">
      <c r="A99" s="38">
        <f t="shared" si="25"/>
        <v>44927</v>
      </c>
      <c r="B99" s="18">
        <f t="shared" si="26"/>
        <v>0</v>
      </c>
      <c r="C99" s="18">
        <f t="shared" si="26"/>
        <v>0</v>
      </c>
      <c r="D99" s="18">
        <f t="shared" si="26"/>
        <v>0</v>
      </c>
      <c r="E99" s="18">
        <f t="shared" si="26"/>
        <v>0</v>
      </c>
      <c r="F99" s="18">
        <f t="shared" si="26"/>
        <v>0</v>
      </c>
      <c r="G99" s="18">
        <f t="shared" si="26"/>
        <v>0</v>
      </c>
      <c r="H99" s="41">
        <f t="shared" si="27"/>
        <v>1923.4818573620548</v>
      </c>
      <c r="I99" s="41">
        <f t="shared" si="28"/>
        <v>240.43523217025685</v>
      </c>
      <c r="J99" s="41">
        <f t="shared" si="29"/>
        <v>0</v>
      </c>
      <c r="K99" s="41">
        <f t="shared" si="32"/>
        <v>238.1949715587194</v>
      </c>
      <c r="L99" s="41">
        <f t="shared" si="30"/>
        <v>1444.8516536330787</v>
      </c>
      <c r="M99" s="41">
        <f t="shared" si="31"/>
        <v>0</v>
      </c>
      <c r="N99" s="41">
        <f t="shared" si="24"/>
        <v>1444.8516536330787</v>
      </c>
      <c r="O99" s="40"/>
      <c r="P99" s="40"/>
      <c r="Q99" s="40"/>
      <c r="R99" s="40"/>
    </row>
    <row r="100" spans="1:18">
      <c r="A100" s="38">
        <f t="shared" si="25"/>
        <v>45292</v>
      </c>
      <c r="B100" s="18">
        <f t="shared" si="26"/>
        <v>0</v>
      </c>
      <c r="C100" s="18">
        <f t="shared" si="26"/>
        <v>0</v>
      </c>
      <c r="D100" s="18">
        <f t="shared" si="26"/>
        <v>0</v>
      </c>
      <c r="E100" s="18">
        <f t="shared" si="26"/>
        <v>0</v>
      </c>
      <c r="F100" s="18">
        <f t="shared" si="26"/>
        <v>0</v>
      </c>
      <c r="G100" s="18">
        <f t="shared" si="26"/>
        <v>0</v>
      </c>
      <c r="H100" s="41">
        <f t="shared" si="27"/>
        <v>1808.4607774432081</v>
      </c>
      <c r="I100" s="41">
        <f t="shared" si="28"/>
        <v>226.05759718040102</v>
      </c>
      <c r="J100" s="41">
        <f t="shared" si="29"/>
        <v>0</v>
      </c>
      <c r="K100" s="41">
        <f t="shared" si="32"/>
        <v>234.16145251270652</v>
      </c>
      <c r="L100" s="41">
        <f t="shared" si="30"/>
        <v>1348.2417277501006</v>
      </c>
      <c r="M100" s="41">
        <f t="shared" si="31"/>
        <v>0</v>
      </c>
      <c r="N100" s="41">
        <f t="shared" si="24"/>
        <v>1348.2417277501006</v>
      </c>
      <c r="O100" s="40"/>
      <c r="P100" s="40"/>
      <c r="Q100" s="40"/>
      <c r="R100" s="40"/>
    </row>
    <row r="101" spans="1:18">
      <c r="A101" s="38">
        <f t="shared" si="25"/>
        <v>45658</v>
      </c>
      <c r="B101" s="18">
        <f t="shared" si="26"/>
        <v>0</v>
      </c>
      <c r="C101" s="18">
        <f t="shared" si="26"/>
        <v>0</v>
      </c>
      <c r="D101" s="18">
        <f t="shared" si="26"/>
        <v>0</v>
      </c>
      <c r="E101" s="18">
        <f t="shared" si="26"/>
        <v>0</v>
      </c>
      <c r="F101" s="18">
        <f t="shared" si="26"/>
        <v>0</v>
      </c>
      <c r="G101" s="18">
        <f t="shared" si="26"/>
        <v>0</v>
      </c>
      <c r="H101" s="41">
        <f t="shared" si="27"/>
        <v>1676.917238609989</v>
      </c>
      <c r="I101" s="41">
        <f t="shared" si="28"/>
        <v>209.61465482624862</v>
      </c>
      <c r="J101" s="41">
        <f t="shared" si="29"/>
        <v>0</v>
      </c>
      <c r="K101" s="41">
        <f t="shared" si="32"/>
        <v>230.143304718585</v>
      </c>
      <c r="L101" s="41">
        <f t="shared" si="30"/>
        <v>1237.1592790651553</v>
      </c>
      <c r="M101" s="41">
        <f t="shared" si="31"/>
        <v>0</v>
      </c>
      <c r="N101" s="41">
        <f t="shared" si="24"/>
        <v>1237.1592790651553</v>
      </c>
      <c r="O101" s="40"/>
      <c r="P101" s="40"/>
      <c r="Q101" s="40"/>
      <c r="R101" s="40"/>
    </row>
    <row r="102" spans="1:18">
      <c r="A102" s="38">
        <f t="shared" si="25"/>
        <v>46023</v>
      </c>
      <c r="B102" s="18">
        <f t="shared" si="26"/>
        <v>0</v>
      </c>
      <c r="C102" s="18">
        <f t="shared" si="26"/>
        <v>0</v>
      </c>
      <c r="D102" s="18">
        <f t="shared" si="26"/>
        <v>0</v>
      </c>
      <c r="E102" s="18">
        <f t="shared" si="26"/>
        <v>0</v>
      </c>
      <c r="F102" s="18">
        <f t="shared" si="26"/>
        <v>0</v>
      </c>
      <c r="G102" s="18">
        <f t="shared" si="26"/>
        <v>0</v>
      </c>
      <c r="H102" s="41">
        <f t="shared" si="27"/>
        <v>1564.402324462415</v>
      </c>
      <c r="I102" s="41">
        <f t="shared" si="28"/>
        <v>195.55029055780187</v>
      </c>
      <c r="J102" s="41">
        <f t="shared" si="29"/>
        <v>0</v>
      </c>
      <c r="K102" s="41">
        <f t="shared" si="32"/>
        <v>226.88442790922974</v>
      </c>
      <c r="L102" s="41">
        <f t="shared" si="30"/>
        <v>1141.9676059953833</v>
      </c>
      <c r="M102" s="41">
        <f t="shared" si="31"/>
        <v>0</v>
      </c>
      <c r="N102" s="41">
        <f t="shared" si="24"/>
        <v>1141.9676059953833</v>
      </c>
      <c r="O102" s="40"/>
      <c r="P102" s="40"/>
      <c r="Q102" s="40"/>
      <c r="R102" s="40"/>
    </row>
    <row r="103" spans="1:18">
      <c r="A103" s="38">
        <f t="shared" si="25"/>
        <v>46388</v>
      </c>
      <c r="B103" s="18">
        <f t="shared" si="26"/>
        <v>0</v>
      </c>
      <c r="C103" s="18">
        <f t="shared" si="26"/>
        <v>0</v>
      </c>
      <c r="D103" s="18">
        <f t="shared" si="26"/>
        <v>0</v>
      </c>
      <c r="E103" s="18">
        <f t="shared" si="26"/>
        <v>0</v>
      </c>
      <c r="F103" s="18">
        <f t="shared" si="26"/>
        <v>0</v>
      </c>
      <c r="G103" s="18">
        <f t="shared" si="26"/>
        <v>0</v>
      </c>
      <c r="H103" s="41">
        <f t="shared" si="27"/>
        <v>1459.0836150099558</v>
      </c>
      <c r="I103" s="41">
        <f t="shared" si="28"/>
        <v>182.38545187624447</v>
      </c>
      <c r="J103" s="41">
        <f t="shared" si="29"/>
        <v>0</v>
      </c>
      <c r="K103" s="41">
        <f t="shared" si="32"/>
        <v>224.09349663723401</v>
      </c>
      <c r="L103" s="41">
        <f t="shared" si="30"/>
        <v>1052.6046664964772</v>
      </c>
      <c r="M103" s="41">
        <f t="shared" si="31"/>
        <v>0</v>
      </c>
      <c r="N103" s="41">
        <f t="shared" si="24"/>
        <v>1052.6046664964772</v>
      </c>
      <c r="O103" s="40"/>
      <c r="P103" s="40"/>
      <c r="Q103" s="40"/>
      <c r="R103" s="40"/>
    </row>
    <row r="104" spans="1:18">
      <c r="A104" s="38">
        <f t="shared" si="25"/>
        <v>46753</v>
      </c>
      <c r="B104" s="18">
        <f t="shared" si="26"/>
        <v>0</v>
      </c>
      <c r="C104" s="18">
        <f t="shared" si="26"/>
        <v>0</v>
      </c>
      <c r="D104" s="18">
        <f t="shared" si="26"/>
        <v>0</v>
      </c>
      <c r="E104" s="18">
        <f t="shared" si="26"/>
        <v>0</v>
      </c>
      <c r="F104" s="18">
        <f t="shared" si="26"/>
        <v>0</v>
      </c>
      <c r="G104" s="18">
        <f t="shared" si="26"/>
        <v>0</v>
      </c>
      <c r="H104" s="41">
        <f t="shared" si="27"/>
        <v>1364.2592361659983</v>
      </c>
      <c r="I104" s="41">
        <f t="shared" si="28"/>
        <v>170.53240452074979</v>
      </c>
      <c r="J104" s="41">
        <f t="shared" si="29"/>
        <v>0</v>
      </c>
      <c r="K104" s="41">
        <f t="shared" si="32"/>
        <v>221.93357683185798</v>
      </c>
      <c r="L104" s="41">
        <f t="shared" si="30"/>
        <v>971.79325481339049</v>
      </c>
      <c r="M104" s="41">
        <f t="shared" si="31"/>
        <v>0</v>
      </c>
      <c r="N104" s="41">
        <f t="shared" si="24"/>
        <v>971.79325481339049</v>
      </c>
      <c r="O104" s="40"/>
      <c r="P104" s="40"/>
      <c r="Q104" s="40"/>
      <c r="R104" s="40"/>
    </row>
    <row r="105" spans="1:18">
      <c r="A105" s="38">
        <f t="shared" si="25"/>
        <v>47119</v>
      </c>
      <c r="B105" s="18">
        <f t="shared" si="26"/>
        <v>0</v>
      </c>
      <c r="C105" s="18">
        <f t="shared" si="26"/>
        <v>0</v>
      </c>
      <c r="D105" s="18">
        <f t="shared" si="26"/>
        <v>0</v>
      </c>
      <c r="E105" s="18">
        <f t="shared" si="26"/>
        <v>0</v>
      </c>
      <c r="F105" s="18">
        <f t="shared" si="26"/>
        <v>0</v>
      </c>
      <c r="G105" s="18">
        <f t="shared" si="26"/>
        <v>0</v>
      </c>
      <c r="H105" s="41">
        <f t="shared" si="27"/>
        <v>1265.2063601810894</v>
      </c>
      <c r="I105" s="41">
        <f t="shared" si="28"/>
        <v>158.15079502263617</v>
      </c>
      <c r="J105" s="41">
        <f t="shared" si="29"/>
        <v>0</v>
      </c>
      <c r="K105" s="41">
        <f t="shared" si="32"/>
        <v>219.8054657526375</v>
      </c>
      <c r="L105" s="41">
        <f t="shared" si="30"/>
        <v>887.25009940581572</v>
      </c>
      <c r="M105" s="41">
        <f t="shared" si="31"/>
        <v>0</v>
      </c>
      <c r="N105" s="41">
        <f t="shared" si="24"/>
        <v>887.25009940581572</v>
      </c>
      <c r="O105" s="40"/>
      <c r="P105" s="40"/>
      <c r="Q105" s="40"/>
      <c r="R105" s="40"/>
    </row>
    <row r="106" spans="1:18">
      <c r="A106" s="38">
        <f t="shared" si="25"/>
        <v>47484</v>
      </c>
      <c r="B106" s="18">
        <f t="shared" si="26"/>
        <v>0</v>
      </c>
      <c r="C106" s="18">
        <f t="shared" si="26"/>
        <v>0</v>
      </c>
      <c r="D106" s="18">
        <f t="shared" si="26"/>
        <v>0</v>
      </c>
      <c r="E106" s="18">
        <f t="shared" si="26"/>
        <v>0</v>
      </c>
      <c r="F106" s="18">
        <f t="shared" si="26"/>
        <v>0</v>
      </c>
      <c r="G106" s="18">
        <f t="shared" si="26"/>
        <v>0</v>
      </c>
      <c r="H106" s="41">
        <f t="shared" si="27"/>
        <v>1179.6950438238505</v>
      </c>
      <c r="I106" s="41">
        <f t="shared" si="28"/>
        <v>147.46188047798131</v>
      </c>
      <c r="J106" s="41">
        <f t="shared" si="29"/>
        <v>0</v>
      </c>
      <c r="K106" s="41">
        <f t="shared" si="32"/>
        <v>218.26619260553673</v>
      </c>
      <c r="L106" s="41">
        <f t="shared" si="30"/>
        <v>813.96697074033239</v>
      </c>
      <c r="M106" s="41">
        <f>IF(B85&lt;B84,E$25*(1+E$22/365)^(A63-A$50),0)</f>
        <v>0</v>
      </c>
      <c r="N106" s="41">
        <f t="shared" si="24"/>
        <v>813.96697074033239</v>
      </c>
      <c r="O106" s="40"/>
      <c r="P106" s="40"/>
      <c r="Q106" s="40"/>
      <c r="R106" s="40"/>
    </row>
    <row r="107" spans="1:18">
      <c r="A107" s="38">
        <f t="shared" si="25"/>
        <v>47849</v>
      </c>
      <c r="B107" s="18">
        <f t="shared" si="26"/>
        <v>0</v>
      </c>
      <c r="C107" s="18">
        <f t="shared" si="26"/>
        <v>0</v>
      </c>
      <c r="D107" s="18">
        <f t="shared" si="26"/>
        <v>0</v>
      </c>
      <c r="E107" s="18">
        <f t="shared" si="26"/>
        <v>0</v>
      </c>
      <c r="F107" s="18">
        <f t="shared" si="26"/>
        <v>0</v>
      </c>
      <c r="G107" s="18">
        <f t="shared" si="26"/>
        <v>0</v>
      </c>
      <c r="H107" s="41">
        <f t="shared" si="27"/>
        <v>10722.196848051462</v>
      </c>
      <c r="I107" s="41">
        <f t="shared" si="28"/>
        <v>1340.2746060064328</v>
      </c>
      <c r="J107" s="41">
        <f t="shared" si="29"/>
        <v>0</v>
      </c>
      <c r="K107" s="41">
        <f t="shared" si="32"/>
        <v>730.96273619046565</v>
      </c>
      <c r="L107" s="41">
        <f t="shared" si="30"/>
        <v>8650.9595058545638</v>
      </c>
      <c r="M107" s="41">
        <f>IF(B86&lt;B85,E$25*(1+E$22/365)^(A64-A$50),0)</f>
        <v>694.75201621931944</v>
      </c>
      <c r="N107" s="41">
        <f t="shared" si="24"/>
        <v>7956.2074896352442</v>
      </c>
      <c r="O107" s="40"/>
      <c r="P107" s="40"/>
      <c r="Q107" s="40"/>
      <c r="R107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4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A5" sqref="A5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464</v>
      </c>
    </row>
    <row r="5" spans="1:11">
      <c r="B5" t="s">
        <v>83</v>
      </c>
      <c r="I5" s="3">
        <f>'Cost inputs'!D60</f>
        <v>400</v>
      </c>
      <c r="J5" t="s">
        <v>61</v>
      </c>
      <c r="K5" t="s">
        <v>91</v>
      </c>
    </row>
    <row r="6" spans="1:11">
      <c r="B6" t="s">
        <v>85</v>
      </c>
      <c r="I6" s="3">
        <f>'Cost inputs'!D61</f>
        <v>900</v>
      </c>
      <c r="J6" t="s">
        <v>61</v>
      </c>
      <c r="K6" t="s">
        <v>91</v>
      </c>
    </row>
    <row r="7" spans="1:11">
      <c r="B7" t="s">
        <v>84</v>
      </c>
      <c r="H7" s="3"/>
      <c r="I7" s="3">
        <f>'Cost inputs'!D62</f>
        <v>100</v>
      </c>
      <c r="J7" t="s">
        <v>61</v>
      </c>
      <c r="K7" t="s">
        <v>91</v>
      </c>
    </row>
    <row r="8" spans="1:11">
      <c r="B8" t="s">
        <v>86</v>
      </c>
      <c r="H8" s="3"/>
      <c r="I8" s="3">
        <f>'Cost inputs'!D63</f>
        <v>200</v>
      </c>
      <c r="J8" t="s">
        <v>61</v>
      </c>
      <c r="K8" t="s">
        <v>91</v>
      </c>
    </row>
    <row r="9" spans="1:11">
      <c r="B9" t="s">
        <v>401</v>
      </c>
      <c r="H9" s="5"/>
      <c r="I9" s="3">
        <f>'Cost inputs'!D65</f>
        <v>75</v>
      </c>
      <c r="J9" t="s">
        <v>61</v>
      </c>
      <c r="K9" t="s">
        <v>91</v>
      </c>
    </row>
    <row r="10" spans="1:11">
      <c r="B10" t="s">
        <v>402</v>
      </c>
      <c r="H10" s="5"/>
      <c r="I10" s="3">
        <f>'Cost inputs'!D67</f>
        <v>100</v>
      </c>
      <c r="J10" t="s">
        <v>61</v>
      </c>
      <c r="K10" t="s">
        <v>91</v>
      </c>
    </row>
    <row r="11" spans="1:11">
      <c r="B11" t="s">
        <v>400</v>
      </c>
      <c r="H11" s="5"/>
      <c r="I11" s="3">
        <f>'Cost inputs'!D68</f>
        <v>75</v>
      </c>
      <c r="J11" t="s">
        <v>61</v>
      </c>
      <c r="K11" t="s">
        <v>91</v>
      </c>
    </row>
    <row r="12" spans="1:11">
      <c r="B12" t="s">
        <v>60</v>
      </c>
      <c r="I12" s="3">
        <f>'Cost inputs'!D69</f>
        <v>100</v>
      </c>
      <c r="J12" t="s">
        <v>61</v>
      </c>
      <c r="K12" t="s">
        <v>91</v>
      </c>
    </row>
    <row r="13" spans="1:11">
      <c r="B13" t="s">
        <v>403</v>
      </c>
      <c r="I13" s="3">
        <f>'Cost inputs'!D70</f>
        <v>700</v>
      </c>
      <c r="J13" t="s">
        <v>58</v>
      </c>
      <c r="K13" t="s">
        <v>91</v>
      </c>
    </row>
    <row r="14" spans="1:11">
      <c r="B14" t="s">
        <v>191</v>
      </c>
      <c r="I14" s="3">
        <f>'Cost inputs'!D73</f>
        <v>60</v>
      </c>
      <c r="J14" t="s">
        <v>61</v>
      </c>
      <c r="K14" t="s">
        <v>91</v>
      </c>
    </row>
    <row r="15" spans="1:11">
      <c r="B15" t="s">
        <v>199</v>
      </c>
      <c r="I15" s="3">
        <f>'Cost inputs'!D75</f>
        <v>150</v>
      </c>
      <c r="J15" t="s">
        <v>61</v>
      </c>
      <c r="K15" t="s">
        <v>91</v>
      </c>
    </row>
    <row r="16" spans="1:11">
      <c r="B16" t="s">
        <v>192</v>
      </c>
      <c r="I16" s="3">
        <f>'Cost inputs'!D76</f>
        <v>150</v>
      </c>
      <c r="J16" t="s">
        <v>58</v>
      </c>
      <c r="K16" t="s">
        <v>91</v>
      </c>
    </row>
    <row r="18" spans="1:11">
      <c r="A18" t="s">
        <v>89</v>
      </c>
    </row>
    <row r="19" spans="1:11">
      <c r="B19" t="s">
        <v>62</v>
      </c>
      <c r="C19" s="8">
        <f>C21*E21/43560</f>
        <v>1124.8852157943068</v>
      </c>
      <c r="D19" t="s">
        <v>68</v>
      </c>
      <c r="E19" t="s">
        <v>77</v>
      </c>
      <c r="G19" t="s">
        <v>78</v>
      </c>
      <c r="I19" s="11">
        <v>540</v>
      </c>
      <c r="J19" t="s">
        <v>79</v>
      </c>
      <c r="K19" t="s">
        <v>339</v>
      </c>
    </row>
    <row r="20" spans="1:11">
      <c r="B20" s="65" t="s">
        <v>243</v>
      </c>
      <c r="C20" s="8">
        <f>C19*259/640</f>
        <v>455.2269857667585</v>
      </c>
      <c r="D20" t="s">
        <v>325</v>
      </c>
      <c r="G20" t="s">
        <v>80</v>
      </c>
      <c r="I20" s="73">
        <v>20</v>
      </c>
      <c r="J20" t="s">
        <v>81</v>
      </c>
      <c r="K20" t="s">
        <v>339</v>
      </c>
    </row>
    <row r="21" spans="1:11">
      <c r="B21" s="65" t="s">
        <v>243</v>
      </c>
      <c r="C21">
        <f>Summary!D15</f>
        <v>7000</v>
      </c>
      <c r="D21" t="s">
        <v>245</v>
      </c>
      <c r="E21">
        <f>Summary!C15</f>
        <v>7000</v>
      </c>
      <c r="F21" t="s">
        <v>244</v>
      </c>
      <c r="G21" t="s">
        <v>77</v>
      </c>
      <c r="I21" s="11">
        <f>I19*I20*C19/1000</f>
        <v>12148.760330578514</v>
      </c>
      <c r="J21" t="s">
        <v>76</v>
      </c>
    </row>
    <row r="22" spans="1:11">
      <c r="A22" t="s">
        <v>200</v>
      </c>
      <c r="C22">
        <f>Summary!C36</f>
        <v>100</v>
      </c>
      <c r="D22" t="s">
        <v>398</v>
      </c>
      <c r="F22">
        <f>Summary!D36</f>
        <v>500</v>
      </c>
      <c r="G22" t="s">
        <v>462</v>
      </c>
      <c r="I22" s="8"/>
    </row>
    <row r="23" spans="1:11">
      <c r="E23" t="s">
        <v>63</v>
      </c>
      <c r="F23" t="s">
        <v>65</v>
      </c>
      <c r="G23">
        <f>ROUNDUP(C19/C22,0)-G24</f>
        <v>10</v>
      </c>
      <c r="H23" t="s">
        <v>67</v>
      </c>
      <c r="I23" s="3">
        <f>G23*SUM(I$5,I$7,I9,I$12)</f>
        <v>6750</v>
      </c>
      <c r="J23" t="s">
        <v>58</v>
      </c>
    </row>
    <row r="24" spans="1:11">
      <c r="E24" t="s">
        <v>399</v>
      </c>
      <c r="G24">
        <f>ROUND(C$19/F22,0)</f>
        <v>2</v>
      </c>
      <c r="H24" t="s">
        <v>67</v>
      </c>
      <c r="I24" s="3">
        <f>G24*SUM(I$5,I$7,I11,I$12)</f>
        <v>1350</v>
      </c>
      <c r="J24" t="s">
        <v>58</v>
      </c>
    </row>
    <row r="25" spans="1:11">
      <c r="E25" t="s">
        <v>66</v>
      </c>
      <c r="I25" s="3">
        <f>I13</f>
        <v>700</v>
      </c>
      <c r="J25" t="s">
        <v>58</v>
      </c>
    </row>
    <row r="26" spans="1:11">
      <c r="E26" t="s">
        <v>69</v>
      </c>
      <c r="I26" s="3">
        <f>SUM(I23:I25)</f>
        <v>8800</v>
      </c>
      <c r="J26" t="s">
        <v>58</v>
      </c>
    </row>
    <row r="28" spans="1:11">
      <c r="C28" t="s">
        <v>70</v>
      </c>
      <c r="G28" s="8">
        <v>40</v>
      </c>
      <c r="H28" t="s">
        <v>202</v>
      </c>
      <c r="I28">
        <f>G28*G23</f>
        <v>400</v>
      </c>
      <c r="J28" t="s">
        <v>73</v>
      </c>
    </row>
    <row r="29" spans="1:11">
      <c r="C29" t="s">
        <v>71</v>
      </c>
      <c r="I29" s="6">
        <f>(I28-I30)*0.365/I31</f>
        <v>9.2533832452847034E-2</v>
      </c>
      <c r="J29" s="4" t="s">
        <v>74</v>
      </c>
    </row>
    <row r="30" spans="1:11">
      <c r="C30" t="s">
        <v>72</v>
      </c>
      <c r="I30" s="8">
        <f>I37*1000/(30.4*(I34*(1-I35)-I36))</f>
        <v>30.40941821165589</v>
      </c>
      <c r="J30" t="s">
        <v>73</v>
      </c>
    </row>
    <row r="31" spans="1:11">
      <c r="C31" t="s">
        <v>75</v>
      </c>
      <c r="I31" s="8">
        <f>I21*I32</f>
        <v>1457.8512396694216</v>
      </c>
      <c r="J31" t="s">
        <v>76</v>
      </c>
    </row>
    <row r="32" spans="1:11">
      <c r="C32" t="s">
        <v>82</v>
      </c>
      <c r="I32" s="9">
        <f>Summary!H36</f>
        <v>0.12</v>
      </c>
      <c r="K32" t="s">
        <v>347</v>
      </c>
    </row>
    <row r="33" spans="1:11">
      <c r="C33" t="s">
        <v>100</v>
      </c>
      <c r="I33" s="8">
        <v>0</v>
      </c>
      <c r="J33" t="s">
        <v>328</v>
      </c>
      <c r="K33" t="s">
        <v>404</v>
      </c>
    </row>
    <row r="34" spans="1:11">
      <c r="C34" t="s">
        <v>353</v>
      </c>
      <c r="I34" s="2">
        <f>Prices!I41</f>
        <v>73.241633258205994</v>
      </c>
      <c r="J34" s="4" t="s">
        <v>187</v>
      </c>
    </row>
    <row r="35" spans="1:11">
      <c r="C35" t="s">
        <v>354</v>
      </c>
      <c r="I35" s="66">
        <v>0.125</v>
      </c>
    </row>
    <row r="36" spans="1:11">
      <c r="C36" t="s">
        <v>185</v>
      </c>
      <c r="I36" s="3">
        <v>10</v>
      </c>
      <c r="J36" s="4" t="s">
        <v>187</v>
      </c>
    </row>
    <row r="37" spans="1:11">
      <c r="C37" t="s">
        <v>186</v>
      </c>
      <c r="I37" s="3">
        <v>50</v>
      </c>
      <c r="J37" s="4" t="s">
        <v>188</v>
      </c>
    </row>
    <row r="38" spans="1:11">
      <c r="C38" t="s">
        <v>334</v>
      </c>
      <c r="I38" s="76">
        <f>G23*I14</f>
        <v>600</v>
      </c>
      <c r="J38" s="4" t="s">
        <v>335</v>
      </c>
    </row>
    <row r="39" spans="1:11">
      <c r="C39" t="s">
        <v>192</v>
      </c>
      <c r="I39" s="76">
        <f>I16</f>
        <v>150</v>
      </c>
      <c r="J39" s="4" t="s">
        <v>335</v>
      </c>
    </row>
    <row r="40" spans="1:11">
      <c r="C40" t="s">
        <v>203</v>
      </c>
      <c r="I40" s="76">
        <f>'Cam vert oil ec'!C34</f>
        <v>26929.773713752766</v>
      </c>
      <c r="J40" s="4" t="s">
        <v>58</v>
      </c>
    </row>
    <row r="41" spans="1:11">
      <c r="C41" t="s">
        <v>204</v>
      </c>
      <c r="I41" s="76">
        <f>'Cam vert oil ec'!C35</f>
        <v>22403.74516224382</v>
      </c>
      <c r="J41" s="4" t="s">
        <v>58</v>
      </c>
    </row>
    <row r="42" spans="1:11">
      <c r="C42" t="s">
        <v>197</v>
      </c>
      <c r="I42" s="44">
        <f>'Cam vert oil ec'!C37</f>
        <v>0.74625552179260524</v>
      </c>
      <c r="J42" s="4"/>
    </row>
    <row r="44" spans="1:11">
      <c r="A44" t="s">
        <v>200</v>
      </c>
      <c r="C44">
        <f>Summary!C37</f>
        <v>150</v>
      </c>
      <c r="D44" t="s">
        <v>463</v>
      </c>
      <c r="F44">
        <f>Summary!D37</f>
        <v>500</v>
      </c>
      <c r="G44" t="s">
        <v>462</v>
      </c>
      <c r="I44" s="8"/>
    </row>
    <row r="45" spans="1:11">
      <c r="E45" t="s">
        <v>345</v>
      </c>
      <c r="F45" t="s">
        <v>65</v>
      </c>
      <c r="G45">
        <f>ROUNDUP(C19/C44,0)-G46</f>
        <v>6</v>
      </c>
      <c r="H45" t="s">
        <v>67</v>
      </c>
      <c r="I45" s="3">
        <f>G45*SUM(I6,I8,I10,I12)</f>
        <v>7800</v>
      </c>
      <c r="J45" t="s">
        <v>58</v>
      </c>
    </row>
    <row r="46" spans="1:11">
      <c r="E46" t="s">
        <v>399</v>
      </c>
      <c r="G46">
        <f>ROUND(C$19/F44,0)</f>
        <v>2</v>
      </c>
      <c r="H46" t="s">
        <v>67</v>
      </c>
      <c r="I46" s="3">
        <f>G46*SUM(I$5,I$7,I11,I$12)</f>
        <v>1350</v>
      </c>
      <c r="J46" t="s">
        <v>58</v>
      </c>
    </row>
    <row r="47" spans="1:11">
      <c r="E47" t="s">
        <v>66</v>
      </c>
      <c r="I47" s="3">
        <f>I13</f>
        <v>700</v>
      </c>
      <c r="J47" t="s">
        <v>58</v>
      </c>
    </row>
    <row r="48" spans="1:11">
      <c r="E48" t="s">
        <v>69</v>
      </c>
      <c r="I48" s="3">
        <f>SUM(I45:I47)</f>
        <v>9850</v>
      </c>
      <c r="J48" t="s">
        <v>58</v>
      </c>
    </row>
    <row r="50" spans="3:11">
      <c r="C50" t="s">
        <v>70</v>
      </c>
      <c r="G50" s="8">
        <v>100</v>
      </c>
      <c r="H50" t="s">
        <v>202</v>
      </c>
      <c r="I50">
        <f>G50*G45</f>
        <v>600</v>
      </c>
      <c r="J50" t="s">
        <v>73</v>
      </c>
    </row>
    <row r="51" spans="3:11">
      <c r="C51" t="s">
        <v>71</v>
      </c>
      <c r="I51" s="6">
        <f>(I50-I52)*0.365/I53</f>
        <v>8.5564517158783035E-2</v>
      </c>
      <c r="J51" s="4" t="s">
        <v>74</v>
      </c>
    </row>
    <row r="52" spans="3:11">
      <c r="C52" t="s">
        <v>72</v>
      </c>
      <c r="I52" s="8">
        <f>I59*1000/(30.4*(I56*(1-I57)-I58))</f>
        <v>30.40941821165589</v>
      </c>
      <c r="J52" t="s">
        <v>73</v>
      </c>
    </row>
    <row r="53" spans="3:11">
      <c r="C53" t="s">
        <v>75</v>
      </c>
      <c r="I53" s="8">
        <f>I21*I54</f>
        <v>2429.7520661157027</v>
      </c>
      <c r="J53" t="s">
        <v>76</v>
      </c>
    </row>
    <row r="54" spans="3:11">
      <c r="C54" t="s">
        <v>82</v>
      </c>
      <c r="I54" s="9">
        <f>Summary!H37</f>
        <v>0.2</v>
      </c>
      <c r="K54" t="s">
        <v>91</v>
      </c>
    </row>
    <row r="55" spans="3:11">
      <c r="C55" t="s">
        <v>100</v>
      </c>
      <c r="I55" s="8">
        <v>0</v>
      </c>
      <c r="J55" t="s">
        <v>328</v>
      </c>
      <c r="K55" t="s">
        <v>404</v>
      </c>
    </row>
    <row r="56" spans="3:11">
      <c r="C56" t="s">
        <v>353</v>
      </c>
      <c r="I56" s="2">
        <f>Prices!I41</f>
        <v>73.241633258205994</v>
      </c>
      <c r="J56" s="4" t="s">
        <v>187</v>
      </c>
    </row>
    <row r="57" spans="3:11">
      <c r="C57" t="s">
        <v>354</v>
      </c>
      <c r="I57" s="66">
        <v>0.125</v>
      </c>
    </row>
    <row r="58" spans="3:11">
      <c r="C58" t="s">
        <v>185</v>
      </c>
      <c r="I58" s="3">
        <f>Summary!G59</f>
        <v>10</v>
      </c>
      <c r="J58" s="4" t="s">
        <v>187</v>
      </c>
    </row>
    <row r="59" spans="3:11">
      <c r="C59" t="s">
        <v>186</v>
      </c>
      <c r="I59" s="3">
        <f>Summary!F59</f>
        <v>50</v>
      </c>
      <c r="J59" s="4" t="s">
        <v>188</v>
      </c>
    </row>
    <row r="60" spans="3:11">
      <c r="C60" t="s">
        <v>334</v>
      </c>
      <c r="I60" s="3">
        <f>G45*I15</f>
        <v>900</v>
      </c>
      <c r="J60" s="4" t="s">
        <v>335</v>
      </c>
    </row>
    <row r="61" spans="3:11">
      <c r="C61" t="s">
        <v>192</v>
      </c>
      <c r="I61" s="3">
        <f>I16</f>
        <v>150</v>
      </c>
      <c r="J61" s="4" t="s">
        <v>335</v>
      </c>
    </row>
    <row r="62" spans="3:11">
      <c r="C62" t="s">
        <v>203</v>
      </c>
      <c r="I62" s="3">
        <f>'Cam hor oil ec'!C34</f>
        <v>49167.820172241132</v>
      </c>
      <c r="J62" s="4" t="s">
        <v>58</v>
      </c>
    </row>
    <row r="63" spans="3:11">
      <c r="C63" t="s">
        <v>204</v>
      </c>
      <c r="I63" s="3">
        <f>'Cam hor oil ec'!C35</f>
        <v>41100.75852996757</v>
      </c>
      <c r="J63" s="4" t="s">
        <v>58</v>
      </c>
    </row>
    <row r="64" spans="3:11">
      <c r="C64" t="s">
        <v>197</v>
      </c>
      <c r="I64" s="44">
        <f>'Cam hor oil ec'!C37</f>
        <v>1.0606725216927471</v>
      </c>
      <c r="J64" s="4"/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6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341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'Cam Oil'!I28</f>
        <v>400</v>
      </c>
      <c r="F4" s="14" t="s">
        <v>96</v>
      </c>
      <c r="G4" s="15"/>
    </row>
    <row r="5" spans="1:17" ht="15.75">
      <c r="A5" s="14" t="s">
        <v>184</v>
      </c>
      <c r="B5" s="14"/>
      <c r="E5" s="16">
        <f>'Cam Oil'!I29</f>
        <v>9.2533832452847034E-2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'Cam Oil'!I30</f>
        <v>30.40941821165589</v>
      </c>
      <c r="F7" s="14" t="s">
        <v>96</v>
      </c>
    </row>
    <row r="8" spans="1:17" ht="14.25">
      <c r="A8" s="14" t="s">
        <v>100</v>
      </c>
      <c r="B8" s="14"/>
      <c r="E8" s="74">
        <f>G8*0.02832784*6.2897</f>
        <v>0</v>
      </c>
      <c r="F8" s="14" t="s">
        <v>101</v>
      </c>
      <c r="G8" s="19">
        <f>'Cam Oil'!I33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'Cam Oil'!G23</f>
        <v>10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'Cam Oil'!I37</f>
        <v>50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'Cam Oil'!I36</f>
        <v>10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'Cam Oil'!I26</f>
        <v>8800</v>
      </c>
      <c r="F23" s="12" t="s">
        <v>195</v>
      </c>
      <c r="R23" s="24"/>
      <c r="U23" s="25"/>
    </row>
    <row r="24" spans="1:21">
      <c r="B24" s="12" t="s">
        <v>193</v>
      </c>
      <c r="E24" s="41">
        <f>'Cam Oil'!I14*'Cam Oil'!G23+'Cam Oil'!I16</f>
        <v>750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81985.732321741234</v>
      </c>
      <c r="D31" s="12" t="s">
        <v>58</v>
      </c>
      <c r="E31" s="84">
        <f>C31/E$23</f>
        <v>9.3165604911069586</v>
      </c>
    </row>
    <row r="32" spans="1:21">
      <c r="A32" s="26">
        <v>0.05</v>
      </c>
      <c r="B32" s="12" t="s">
        <v>128</v>
      </c>
      <c r="C32" s="29">
        <f>NPV(A32,N$91:N$106)</f>
        <v>50199.023547212229</v>
      </c>
      <c r="D32" s="12" t="s">
        <v>58</v>
      </c>
      <c r="E32" s="84">
        <f t="shared" ref="E32:E36" si="0">C32/E$23</f>
        <v>5.70443449400139</v>
      </c>
    </row>
    <row r="33" spans="1:19">
      <c r="A33" s="26">
        <v>0.1</v>
      </c>
      <c r="B33" s="12" t="s">
        <v>128</v>
      </c>
      <c r="C33" s="29">
        <f t="shared" ref="C33:C36" si="1">NPV(A33,N$91:N$106)</f>
        <v>32718.964953799576</v>
      </c>
      <c r="D33" s="12" t="s">
        <v>58</v>
      </c>
      <c r="E33" s="84">
        <f t="shared" si="0"/>
        <v>3.7180641992954064</v>
      </c>
    </row>
    <row r="34" spans="1:19">
      <c r="A34" s="26">
        <v>0.125</v>
      </c>
      <c r="B34" s="12" t="s">
        <v>128</v>
      </c>
      <c r="C34" s="29">
        <f t="shared" si="1"/>
        <v>26929.773713752766</v>
      </c>
      <c r="D34" s="12" t="s">
        <v>58</v>
      </c>
      <c r="E34" s="84">
        <f t="shared" si="0"/>
        <v>3.0602015583809963</v>
      </c>
      <c r="F34" s="14"/>
    </row>
    <row r="35" spans="1:19">
      <c r="A35" s="26">
        <v>0.15</v>
      </c>
      <c r="B35" s="12" t="s">
        <v>128</v>
      </c>
      <c r="C35" s="29">
        <f t="shared" si="1"/>
        <v>22403.74516224382</v>
      </c>
      <c r="D35" s="12" t="s">
        <v>58</v>
      </c>
      <c r="E35" s="84">
        <f t="shared" si="0"/>
        <v>2.5458801320731612</v>
      </c>
      <c r="F35" s="14"/>
    </row>
    <row r="36" spans="1:19">
      <c r="A36" s="26">
        <v>0.2</v>
      </c>
      <c r="B36" s="12" t="s">
        <v>128</v>
      </c>
      <c r="C36" s="29">
        <f t="shared" si="1"/>
        <v>15917.831036639853</v>
      </c>
      <c r="D36" s="12" t="s">
        <v>58</v>
      </c>
      <c r="E36" s="84">
        <f t="shared" si="0"/>
        <v>1.8088444359818014</v>
      </c>
      <c r="F36" s="14"/>
    </row>
    <row r="37" spans="1:19">
      <c r="A37" s="12" t="s">
        <v>197</v>
      </c>
      <c r="C37" s="25">
        <f>IRR(N91:N106, 1)</f>
        <v>0.74625552179260524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75">
        <f>D84</f>
        <v>1457.8512396694216</v>
      </c>
      <c r="G40" s="14" t="s">
        <v>76</v>
      </c>
      <c r="H40" s="75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1457.8512396694216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342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400</v>
      </c>
      <c r="C49" s="18">
        <f t="shared" ref="C49:C63" si="2">B49*E$11</f>
        <v>400</v>
      </c>
      <c r="D49" s="35">
        <f t="shared" ref="D49:D63" si="3">C49*(1-$E$26-G$26*(K49-E$14)/K49)+B49*$K$26</f>
        <v>350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Prices!I41</f>
        <v>73.241633258205994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364.64734726290624</v>
      </c>
      <c r="C50" s="18">
        <f t="shared" si="2"/>
        <v>364.64734726290624</v>
      </c>
      <c r="D50" s="35">
        <f t="shared" si="3"/>
        <v>319.06642885504294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Prices!I42</f>
        <v>77.934080610916538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332.41921966468635</v>
      </c>
      <c r="C51" s="18">
        <f t="shared" si="2"/>
        <v>332.41921966468635</v>
      </c>
      <c r="D51" s="35">
        <f t="shared" si="3"/>
        <v>290.86681720660056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Prices!I43</f>
        <v>81.182016650163078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303.03946657483294</v>
      </c>
      <c r="C52" s="18">
        <f t="shared" si="2"/>
        <v>303.03946657483294</v>
      </c>
      <c r="D52" s="35">
        <f t="shared" si="3"/>
        <v>265.1595332529788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Prices!I44</f>
        <v>84.39680433287252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276.18631710706126</v>
      </c>
      <c r="C53" s="18">
        <f t="shared" si="2"/>
        <v>276.18631710706126</v>
      </c>
      <c r="D53" s="35">
        <f t="shared" si="3"/>
        <v>241.66302746867859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Prices!I45</f>
        <v>87.610176450163081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251.77651970850422</v>
      </c>
      <c r="C54" s="18">
        <f t="shared" si="2"/>
        <v>251.77651970850422</v>
      </c>
      <c r="D54" s="35">
        <f t="shared" si="3"/>
        <v>220.30445474494121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Prices!I46</f>
        <v>90.772467881457203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229.52410003698222</v>
      </c>
      <c r="C55" s="18">
        <f t="shared" si="2"/>
        <v>229.52410003698222</v>
      </c>
      <c r="D55" s="35">
        <f t="shared" si="3"/>
        <v>200.83358753235945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Prices!I47</f>
        <v>92.942443376671307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209.23838552847874</v>
      </c>
      <c r="C56" s="18">
        <f t="shared" si="2"/>
        <v>209.23838552847874</v>
      </c>
      <c r="D56" s="35">
        <f t="shared" si="3"/>
        <v>183.08358733741889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Prices!I48</f>
        <v>95.154668381789719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190.69720439290543</v>
      </c>
      <c r="C57" s="18">
        <f t="shared" si="2"/>
        <v>190.69720439290543</v>
      </c>
      <c r="D57" s="35">
        <f t="shared" si="3"/>
        <v>166.86005384379226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Prices!I49</f>
        <v>97.409487887010471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173.843074280813</v>
      </c>
      <c r="C58" s="18">
        <f t="shared" si="2"/>
        <v>173.843074280813</v>
      </c>
      <c r="D58" s="35">
        <f t="shared" si="3"/>
        <v>152.11268999571138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Prices!I50</f>
        <v>99.467253782335675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158.47853969131705</v>
      </c>
      <c r="C59" s="18">
        <f t="shared" si="2"/>
        <v>158.47853969131705</v>
      </c>
      <c r="D59" s="35">
        <f t="shared" si="3"/>
        <v>138.66872222990241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Prices!I51</f>
        <v>101.32887499556735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144.47194774134488</v>
      </c>
      <c r="C60" s="18">
        <f t="shared" si="2"/>
        <v>144.47194774134488</v>
      </c>
      <c r="D60" s="35">
        <f t="shared" si="3"/>
        <v>126.41295427367677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Prices!I52</f>
        <v>103.26872863306367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131.66989640972261</v>
      </c>
      <c r="C61" s="18">
        <f t="shared" si="2"/>
        <v>131.66989640972261</v>
      </c>
      <c r="D61" s="35">
        <f t="shared" si="3"/>
        <v>115.21115935850729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Prices!I53</f>
        <v>105.23737934330994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120.03269610046755</v>
      </c>
      <c r="C62" s="18">
        <f t="shared" si="2"/>
        <v>120.03269610046755</v>
      </c>
      <c r="D62" s="35">
        <f t="shared" si="3"/>
        <v>105.0286090879091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Prices!I54</f>
        <v>107.2604030677611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109.42401054462519</v>
      </c>
      <c r="C63" s="18">
        <f t="shared" si="2"/>
        <v>109.42401054462519</v>
      </c>
      <c r="D63" s="35">
        <f t="shared" si="3"/>
        <v>95.746009226547045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Prices!I55</f>
        <v>109.28838726670129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10</v>
      </c>
      <c r="C70" s="32">
        <f>D70</f>
        <v>139.44865253057191</v>
      </c>
      <c r="D70" s="39">
        <f>IF(B50=0,0,IF(E$6=1,(E$4)/(E$5/365)*LN((E$4)/B50)/1000,(E$4)^E$6*((E$4)^(1-E$6)-B50^(1-E$6))/((1-E$6)*E$5/365)/1000))</f>
        <v>139.44865253057191</v>
      </c>
      <c r="E70" s="15">
        <f t="shared" ref="E70:E84" si="9">C70*E$11</f>
        <v>139.44865253057191</v>
      </c>
      <c r="F70" s="39">
        <f t="shared" ref="F70:F84" si="10">D70*E$11</f>
        <v>139.44865253057191</v>
      </c>
      <c r="G70" s="15">
        <f t="shared" ref="G70:G84" si="11">IF(E70=0,0,(H92-I92)/H92*E70)+C70*$K$26</f>
        <v>122.01757096425044</v>
      </c>
      <c r="H70" s="15">
        <f>G70</f>
        <v>122.01757096425044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10</v>
      </c>
      <c r="C71" s="15">
        <f t="shared" ref="C71:C84" si="14">D71-D70</f>
        <v>127.12395306164939</v>
      </c>
      <c r="D71" s="39">
        <f t="shared" ref="D71:D83" si="15">IF(B51=0,D70,IF(E$6=1,(E$4)/(E$5/365)*LN((E$4)/B51)/1000,(E$4)^E$6*((E$4)^(1-E$6)-B51^(1-E$6))/((1-E$6)*E$5/365)/1000))</f>
        <v>266.57260559222129</v>
      </c>
      <c r="E71" s="15">
        <f t="shared" si="9"/>
        <v>127.12395306164939</v>
      </c>
      <c r="F71" s="39">
        <f t="shared" si="10"/>
        <v>266.57260559222129</v>
      </c>
      <c r="G71" s="15">
        <f t="shared" si="11"/>
        <v>111.23345892894321</v>
      </c>
      <c r="H71" s="15">
        <f t="shared" ref="H71:H84" si="16">G71+H70</f>
        <v>233.25102989319365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10</v>
      </c>
      <c r="C72" s="15">
        <f t="shared" si="14"/>
        <v>115.88853064376195</v>
      </c>
      <c r="D72" s="39">
        <f t="shared" si="15"/>
        <v>382.46113623598325</v>
      </c>
      <c r="E72" s="15">
        <f t="shared" si="9"/>
        <v>115.88853064376195</v>
      </c>
      <c r="F72" s="39">
        <f t="shared" si="10"/>
        <v>382.46113623598325</v>
      </c>
      <c r="G72" s="15">
        <f t="shared" si="11"/>
        <v>101.40246431329172</v>
      </c>
      <c r="H72" s="15">
        <f t="shared" si="16"/>
        <v>334.65349420648533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10</v>
      </c>
      <c r="C73" s="15">
        <f t="shared" si="14"/>
        <v>105.92233452268624</v>
      </c>
      <c r="D73" s="39">
        <f t="shared" si="15"/>
        <v>488.38347075866949</v>
      </c>
      <c r="E73" s="15">
        <f t="shared" si="9"/>
        <v>105.92233452268624</v>
      </c>
      <c r="F73" s="39">
        <f t="shared" si="10"/>
        <v>488.38347075866949</v>
      </c>
      <c r="G73" s="15">
        <f t="shared" si="11"/>
        <v>92.682042707350462</v>
      </c>
      <c r="H73" s="15">
        <f t="shared" si="16"/>
        <v>427.33553691383577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10</v>
      </c>
      <c r="C74" s="15">
        <f t="shared" si="14"/>
        <v>96.284524419902539</v>
      </c>
      <c r="D74" s="39">
        <f t="shared" si="15"/>
        <v>584.66799517857203</v>
      </c>
      <c r="E74" s="15">
        <f t="shared" si="9"/>
        <v>96.284524419902539</v>
      </c>
      <c r="F74" s="39">
        <f t="shared" si="10"/>
        <v>584.66799517857203</v>
      </c>
      <c r="G74" s="15">
        <f t="shared" si="11"/>
        <v>84.248958867414729</v>
      </c>
      <c r="H74" s="15">
        <f t="shared" si="16"/>
        <v>511.5844957812505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10</v>
      </c>
      <c r="C75" s="15">
        <f t="shared" si="14"/>
        <v>87.774741030469727</v>
      </c>
      <c r="D75" s="39">
        <f t="shared" si="15"/>
        <v>672.44273620904175</v>
      </c>
      <c r="E75" s="15">
        <f t="shared" si="9"/>
        <v>87.774741030469727</v>
      </c>
      <c r="F75" s="39">
        <f t="shared" si="10"/>
        <v>672.44273620904175</v>
      </c>
      <c r="G75" s="15">
        <f t="shared" si="11"/>
        <v>76.802898401661025</v>
      </c>
      <c r="H75" s="15">
        <f t="shared" si="16"/>
        <v>588.38739418291152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10</v>
      </c>
      <c r="C76" s="15">
        <f t="shared" si="14"/>
        <v>80.017066183623342</v>
      </c>
      <c r="D76" s="39">
        <f t="shared" si="15"/>
        <v>752.4598023926651</v>
      </c>
      <c r="E76" s="15">
        <f t="shared" si="9"/>
        <v>80.017066183623342</v>
      </c>
      <c r="F76" s="39">
        <f t="shared" si="10"/>
        <v>752.4598023926651</v>
      </c>
      <c r="G76" s="15">
        <f t="shared" si="11"/>
        <v>70.014932910670424</v>
      </c>
      <c r="H76" s="15">
        <f t="shared" si="16"/>
        <v>658.4023270935819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10</v>
      </c>
      <c r="C77" s="15">
        <f t="shared" si="14"/>
        <v>73.135748678007417</v>
      </c>
      <c r="D77" s="39">
        <f t="shared" si="15"/>
        <v>825.59555107067251</v>
      </c>
      <c r="E77" s="15">
        <f t="shared" si="9"/>
        <v>73.135748678007417</v>
      </c>
      <c r="F77" s="39">
        <f t="shared" si="10"/>
        <v>825.59555107067251</v>
      </c>
      <c r="G77" s="15">
        <f t="shared" si="11"/>
        <v>63.99378009325649</v>
      </c>
      <c r="H77" s="15">
        <f t="shared" si="16"/>
        <v>722.39610718683844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10</v>
      </c>
      <c r="C78" s="15">
        <f t="shared" si="14"/>
        <v>66.481170484844142</v>
      </c>
      <c r="D78" s="39">
        <f t="shared" si="15"/>
        <v>892.07672155551666</v>
      </c>
      <c r="E78" s="15">
        <f t="shared" si="9"/>
        <v>66.481170484844142</v>
      </c>
      <c r="F78" s="39">
        <f t="shared" si="10"/>
        <v>892.07672155551666</v>
      </c>
      <c r="G78" s="15">
        <f t="shared" si="11"/>
        <v>58.171024174238624</v>
      </c>
      <c r="H78" s="15">
        <f t="shared" si="16"/>
        <v>780.56713136107703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10</v>
      </c>
      <c r="C79" s="15">
        <f t="shared" si="14"/>
        <v>60.605456150578789</v>
      </c>
      <c r="D79" s="39">
        <f t="shared" si="15"/>
        <v>952.68217770609544</v>
      </c>
      <c r="E79" s="15">
        <f t="shared" si="9"/>
        <v>60.605456150578789</v>
      </c>
      <c r="F79" s="39">
        <f t="shared" si="10"/>
        <v>952.68217770609544</v>
      </c>
      <c r="G79" s="15">
        <f t="shared" si="11"/>
        <v>53.02977413175644</v>
      </c>
      <c r="H79" s="15">
        <f t="shared" si="16"/>
        <v>833.59690549283346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10</v>
      </c>
      <c r="C80" s="15">
        <f t="shared" si="14"/>
        <v>55.249047037417313</v>
      </c>
      <c r="D80" s="39">
        <f t="shared" si="15"/>
        <v>1007.9312247435128</v>
      </c>
      <c r="E80" s="15">
        <f t="shared" si="9"/>
        <v>55.249047037417313</v>
      </c>
      <c r="F80" s="39">
        <f t="shared" si="10"/>
        <v>1007.9312247435128</v>
      </c>
      <c r="G80" s="15">
        <f t="shared" si="11"/>
        <v>48.342916157740149</v>
      </c>
      <c r="H80" s="15">
        <f t="shared" si="16"/>
        <v>881.93982165057355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10</v>
      </c>
      <c r="C81" s="15">
        <f t="shared" si="14"/>
        <v>50.497732690616203</v>
      </c>
      <c r="D81" s="39">
        <f t="shared" si="15"/>
        <v>1058.428957434129</v>
      </c>
      <c r="E81" s="15">
        <f t="shared" si="9"/>
        <v>50.497732690616203</v>
      </c>
      <c r="F81" s="39">
        <f t="shared" si="10"/>
        <v>1058.428957434129</v>
      </c>
      <c r="G81" s="15">
        <f t="shared" si="11"/>
        <v>44.185516104289171</v>
      </c>
      <c r="H81" s="15">
        <f t="shared" si="16"/>
        <v>926.1253377548627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10</v>
      </c>
      <c r="C82" s="15">
        <f t="shared" si="14"/>
        <v>45.902974082939409</v>
      </c>
      <c r="D82" s="39">
        <f t="shared" si="15"/>
        <v>1104.3319315170684</v>
      </c>
      <c r="E82" s="15">
        <f t="shared" si="9"/>
        <v>45.902974082939409</v>
      </c>
      <c r="F82" s="39">
        <f t="shared" si="10"/>
        <v>1104.3319315170684</v>
      </c>
      <c r="G82" s="15">
        <f t="shared" si="11"/>
        <v>40.165102322571983</v>
      </c>
      <c r="H82" s="15">
        <f t="shared" si="16"/>
        <v>966.29044007743471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10</v>
      </c>
      <c r="C83" s="15">
        <f t="shared" si="14"/>
        <v>41.845994327054768</v>
      </c>
      <c r="D83" s="39">
        <f t="shared" si="15"/>
        <v>1146.1779258441231</v>
      </c>
      <c r="E83" s="15">
        <f t="shared" si="9"/>
        <v>41.845994327054768</v>
      </c>
      <c r="F83" s="39">
        <f t="shared" si="10"/>
        <v>1146.1779258441231</v>
      </c>
      <c r="G83" s="15">
        <f t="shared" si="11"/>
        <v>36.615245036172922</v>
      </c>
      <c r="H83" s="15">
        <f t="shared" si="16"/>
        <v>1002.9056851136077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10</v>
      </c>
      <c r="C84" s="15">
        <f t="shared" si="14"/>
        <v>311.67331382529846</v>
      </c>
      <c r="D84" s="39">
        <f>IF(B63=0,D83,IF(E$6=1,(E$4)/(E$5/365)*LN((E$4)/E7)/1000,(E$4)^E$6*((E$4)^(1-E$6)-E7^(1-E$6))/((1-E$6)*E$5/365)/1000))</f>
        <v>1457.8512396694216</v>
      </c>
      <c r="E84" s="15">
        <f t="shared" si="9"/>
        <v>311.67331382529846</v>
      </c>
      <c r="F84" s="39">
        <f t="shared" si="10"/>
        <v>1457.8512396694216</v>
      </c>
      <c r="G84" s="18">
        <f t="shared" si="11"/>
        <v>272.71414959713616</v>
      </c>
      <c r="H84" s="15">
        <f t="shared" si="16"/>
        <v>1275.6198347107438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8800</v>
      </c>
      <c r="N91" s="41">
        <f t="shared" ref="N91:N106" si="17">L91-M91</f>
        <v>-8800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10213.447066995146</v>
      </c>
      <c r="I92" s="41">
        <f t="shared" ref="I92:I106" si="21">E70*K49*E$26+E70*(K49-E$14)*G$26+K70*L49*E$26+K70*(L49-E$15)*G$26+D92*M49*(E$26+G$26)/1000</f>
        <v>1276.6808833743933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1994.4865253057192</v>
      </c>
      <c r="L92" s="41">
        <f t="shared" ref="L92:L106" si="24">H92+J92-I92-K92</f>
        <v>6942.2796583150339</v>
      </c>
      <c r="M92" s="41">
        <f t="shared" ref="M92:M104" si="25">IF(B71&lt;B70,E$24*(1+E$21/365)^(A49-A$49),0)</f>
        <v>0</v>
      </c>
      <c r="N92" s="41">
        <f t="shared" si="17"/>
        <v>6942.2796583150339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9907.2884054849528</v>
      </c>
      <c r="I93" s="41">
        <f t="shared" si="21"/>
        <v>1238.4110506856191</v>
      </c>
      <c r="J93" s="41">
        <f t="shared" si="22"/>
        <v>0</v>
      </c>
      <c r="K93" s="41">
        <f t="shared" si="23"/>
        <v>1908.6643212288238</v>
      </c>
      <c r="L93" s="41">
        <f t="shared" si="24"/>
        <v>6760.2130335705097</v>
      </c>
      <c r="M93" s="41">
        <f t="shared" si="25"/>
        <v>0</v>
      </c>
      <c r="N93" s="41">
        <f t="shared" si="17"/>
        <v>6760.2130335705097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9408.0646242848161</v>
      </c>
      <c r="I94" s="41">
        <f t="shared" si="21"/>
        <v>1176.008078035602</v>
      </c>
      <c r="J94" s="41">
        <f t="shared" si="22"/>
        <v>0</v>
      </c>
      <c r="K94" s="41">
        <f t="shared" si="23"/>
        <v>1829.9442728176991</v>
      </c>
      <c r="L94" s="41">
        <f t="shared" si="24"/>
        <v>6402.112273431515</v>
      </c>
      <c r="M94" s="41">
        <f t="shared" si="25"/>
        <v>0</v>
      </c>
      <c r="N94" s="41">
        <f t="shared" si="17"/>
        <v>6402.112273431515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8939.5065411922187</v>
      </c>
      <c r="I95" s="41">
        <f t="shared" si="21"/>
        <v>1117.4383176490273</v>
      </c>
      <c r="J95" s="41">
        <f t="shared" si="22"/>
        <v>0</v>
      </c>
      <c r="K95" s="41">
        <f t="shared" si="23"/>
        <v>1760.7810877415081</v>
      </c>
      <c r="L95" s="41">
        <f t="shared" si="24"/>
        <v>6061.2871358016837</v>
      </c>
      <c r="M95" s="41">
        <f t="shared" si="25"/>
        <v>0</v>
      </c>
      <c r="N95" s="41">
        <f t="shared" si="17"/>
        <v>6061.2871358016837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8435.5041738476975</v>
      </c>
      <c r="I96" s="41">
        <f t="shared" si="21"/>
        <v>1054.4380217309622</v>
      </c>
      <c r="J96" s="41">
        <f t="shared" si="22"/>
        <v>0</v>
      </c>
      <c r="K96" s="41">
        <f t="shared" si="23"/>
        <v>1691.7657356091806</v>
      </c>
      <c r="L96" s="41">
        <f t="shared" si="24"/>
        <v>5689.3004165075545</v>
      </c>
      <c r="M96" s="41">
        <f t="shared" si="25"/>
        <v>0</v>
      </c>
      <c r="N96" s="41">
        <f t="shared" si="17"/>
        <v>5689.3004165075545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7967.5298609915371</v>
      </c>
      <c r="I97" s="41">
        <f t="shared" si="21"/>
        <v>995.94123262394214</v>
      </c>
      <c r="J97" s="41">
        <f t="shared" si="22"/>
        <v>0</v>
      </c>
      <c r="K97" s="41">
        <f t="shared" si="23"/>
        <v>1631.6410679794242</v>
      </c>
      <c r="L97" s="41">
        <f t="shared" si="24"/>
        <v>5339.947560388171</v>
      </c>
      <c r="M97" s="41">
        <f t="shared" si="25"/>
        <v>0</v>
      </c>
      <c r="N97" s="41">
        <f t="shared" si="17"/>
        <v>5339.947560388171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7436.9816429387729</v>
      </c>
      <c r="I98" s="41">
        <f t="shared" si="21"/>
        <v>929.62270536734661</v>
      </c>
      <c r="J98" s="41">
        <f t="shared" si="22"/>
        <v>0</v>
      </c>
      <c r="K98" s="41">
        <f t="shared" si="23"/>
        <v>1576.9051306488766</v>
      </c>
      <c r="L98" s="41">
        <f t="shared" si="24"/>
        <v>4930.45380692255</v>
      </c>
      <c r="M98" s="41">
        <f t="shared" si="25"/>
        <v>0</v>
      </c>
      <c r="N98" s="41">
        <f t="shared" si="17"/>
        <v>4930.45380692255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6959.2079123097119</v>
      </c>
      <c r="I99" s="41">
        <f t="shared" si="21"/>
        <v>869.90098903871399</v>
      </c>
      <c r="J99" s="41">
        <f t="shared" si="22"/>
        <v>0</v>
      </c>
      <c r="K99" s="41">
        <f t="shared" si="23"/>
        <v>1529.3942367393945</v>
      </c>
      <c r="L99" s="41">
        <f t="shared" si="24"/>
        <v>4559.912686531603</v>
      </c>
      <c r="M99" s="41">
        <f t="shared" si="25"/>
        <v>0</v>
      </c>
      <c r="N99" s="41">
        <f t="shared" si="17"/>
        <v>4559.912686531603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6475.8967710577035</v>
      </c>
      <c r="I100" s="41">
        <f t="shared" si="21"/>
        <v>809.48709638221294</v>
      </c>
      <c r="J100" s="41">
        <f t="shared" si="22"/>
        <v>0</v>
      </c>
      <c r="K100" s="41">
        <f t="shared" si="23"/>
        <v>1482.0893083375126</v>
      </c>
      <c r="L100" s="41">
        <f t="shared" si="24"/>
        <v>4184.3203663379772</v>
      </c>
      <c r="M100" s="41">
        <f t="shared" si="25"/>
        <v>0</v>
      </c>
      <c r="N100" s="41">
        <f t="shared" si="17"/>
        <v>4184.3203663379772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6028.2582875238368</v>
      </c>
      <c r="I101" s="41">
        <f t="shared" si="21"/>
        <v>753.5322859404796</v>
      </c>
      <c r="J101" s="41">
        <f t="shared" si="22"/>
        <v>0</v>
      </c>
      <c r="K101" s="41">
        <f t="shared" si="23"/>
        <v>1441.5032493041924</v>
      </c>
      <c r="L101" s="41">
        <f t="shared" si="24"/>
        <v>3833.2227522791645</v>
      </c>
      <c r="M101" s="41">
        <f t="shared" si="25"/>
        <v>0</v>
      </c>
      <c r="N101" s="41">
        <f t="shared" si="17"/>
        <v>3833.2227522791645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5598.3237808786789</v>
      </c>
      <c r="I102" s="41">
        <f t="shared" si="21"/>
        <v>699.79047260983486</v>
      </c>
      <c r="J102" s="41">
        <f t="shared" si="22"/>
        <v>0</v>
      </c>
      <c r="K102" s="41">
        <f t="shared" si="23"/>
        <v>1405.0319007769742</v>
      </c>
      <c r="L102" s="41">
        <f t="shared" si="24"/>
        <v>3493.5014074918699</v>
      </c>
      <c r="M102" s="41">
        <f t="shared" si="25"/>
        <v>0</v>
      </c>
      <c r="N102" s="41">
        <f t="shared" si="17"/>
        <v>3493.5014074918699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5214.8366538122327</v>
      </c>
      <c r="I103" s="41">
        <f t="shared" si="21"/>
        <v>651.85458172652909</v>
      </c>
      <c r="J103" s="41">
        <f t="shared" si="22"/>
        <v>0</v>
      </c>
      <c r="K103" s="41">
        <f t="shared" si="23"/>
        <v>1374.0495062862092</v>
      </c>
      <c r="L103" s="41">
        <f t="shared" si="24"/>
        <v>3188.9325657994941</v>
      </c>
      <c r="M103" s="41">
        <f t="shared" si="25"/>
        <v>0</v>
      </c>
      <c r="N103" s="41">
        <f t="shared" si="17"/>
        <v>3188.9325657994941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4830.7086965524195</v>
      </c>
      <c r="I104" s="41">
        <f t="shared" si="21"/>
        <v>603.83858706905244</v>
      </c>
      <c r="J104" s="41">
        <f t="shared" si="22"/>
        <v>0</v>
      </c>
      <c r="K104" s="41">
        <f t="shared" si="23"/>
        <v>1343.3244024656335</v>
      </c>
      <c r="L104" s="41">
        <f t="shared" si="24"/>
        <v>2883.5457070177335</v>
      </c>
      <c r="M104" s="41">
        <f t="shared" si="25"/>
        <v>0</v>
      </c>
      <c r="N104" s="41">
        <f t="shared" si="17"/>
        <v>2883.5457070177335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4488.4182182911391</v>
      </c>
      <c r="I105" s="41">
        <f t="shared" si="21"/>
        <v>561.05227728639238</v>
      </c>
      <c r="J105" s="41">
        <f t="shared" si="22"/>
        <v>0</v>
      </c>
      <c r="K105" s="41">
        <f t="shared" si="23"/>
        <v>1317.7009887661698</v>
      </c>
      <c r="L105" s="41">
        <f t="shared" si="24"/>
        <v>2609.6649522385769</v>
      </c>
      <c r="M105" s="41">
        <f>IF(B84&lt;B83,E$24*(1+E$21/365)^(A62-A$49),0)</f>
        <v>0</v>
      </c>
      <c r="N105" s="41">
        <f t="shared" si="17"/>
        <v>2609.6649522385769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34062.273822035342</v>
      </c>
      <c r="I106" s="41">
        <f t="shared" si="21"/>
        <v>4257.7842277544178</v>
      </c>
      <c r="J106" s="41">
        <f t="shared" si="22"/>
        <v>0</v>
      </c>
      <c r="K106" s="41">
        <f t="shared" si="23"/>
        <v>4904.9487148598082</v>
      </c>
      <c r="L106" s="41">
        <f t="shared" si="24"/>
        <v>24899.540879421114</v>
      </c>
      <c r="M106" s="41">
        <f>IF(B85&lt;B84,E$24*(1+E$21/365)^(A63-A$49),0)</f>
        <v>992.50288031331343</v>
      </c>
      <c r="N106" s="41">
        <f t="shared" si="17"/>
        <v>23907.037999107801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6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346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'Cam Oil'!I50</f>
        <v>600</v>
      </c>
      <c r="F4" s="14" t="s">
        <v>96</v>
      </c>
      <c r="G4" s="15"/>
    </row>
    <row r="5" spans="1:17" ht="15.75">
      <c r="A5" s="14" t="s">
        <v>184</v>
      </c>
      <c r="B5" s="14"/>
      <c r="E5" s="26">
        <f>'Cam Oil'!I51</f>
        <v>8.5564517158783035E-2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74">
        <f>'Cam Oil'!I52</f>
        <v>30.40941821165589</v>
      </c>
      <c r="F7" s="14" t="s">
        <v>96</v>
      </c>
    </row>
    <row r="8" spans="1:17" ht="14.25">
      <c r="A8" s="14" t="s">
        <v>100</v>
      </c>
      <c r="B8" s="14"/>
      <c r="E8" s="74">
        <f>G8*0.02832784*6.2897</f>
        <v>0</v>
      </c>
      <c r="F8" s="14" t="s">
        <v>101</v>
      </c>
      <c r="G8" s="19">
        <f>'Cam Oil'!I55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'Cam Oil'!G45</f>
        <v>6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'Cam Oil'!I59</f>
        <v>50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'Cam Oil'!I58</f>
        <v>10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'Cam Oil'!I48</f>
        <v>9850</v>
      </c>
      <c r="F23" s="12" t="s">
        <v>195</v>
      </c>
      <c r="R23" s="24"/>
      <c r="U23" s="25"/>
    </row>
    <row r="24" spans="1:21">
      <c r="B24" s="12" t="s">
        <v>193</v>
      </c>
      <c r="E24" s="41">
        <f>'Cam Oil'!I60+'Cam Oil'!I61</f>
        <v>1050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150959.889211278</v>
      </c>
      <c r="D31" s="12" t="s">
        <v>58</v>
      </c>
      <c r="E31" s="84">
        <f>C31/E$23</f>
        <v>15.325877077287107</v>
      </c>
    </row>
    <row r="32" spans="1:21">
      <c r="A32" s="26">
        <v>0.05</v>
      </c>
      <c r="B32" s="12" t="s">
        <v>128</v>
      </c>
      <c r="C32" s="29">
        <f>NPV(A32,N$91:N$106)</f>
        <v>91553.384605431856</v>
      </c>
      <c r="D32" s="12" t="s">
        <v>58</v>
      </c>
      <c r="E32" s="84">
        <f t="shared" ref="E32:E36" si="0">C32/E$23</f>
        <v>9.2947598584194786</v>
      </c>
    </row>
    <row r="33" spans="1:19">
      <c r="A33" s="26">
        <v>0.1</v>
      </c>
      <c r="B33" s="12" t="s">
        <v>128</v>
      </c>
      <c r="C33" s="29">
        <f t="shared" ref="C33:C36" si="1">NPV(A33,N$91:N$106)</f>
        <v>59585.140256962033</v>
      </c>
      <c r="D33" s="12" t="s">
        <v>58</v>
      </c>
      <c r="E33" s="84">
        <f t="shared" si="0"/>
        <v>6.049252817965689</v>
      </c>
    </row>
    <row r="34" spans="1:19">
      <c r="A34" s="26">
        <v>0.125</v>
      </c>
      <c r="B34" s="12" t="s">
        <v>128</v>
      </c>
      <c r="C34" s="29">
        <f t="shared" si="1"/>
        <v>49167.820172241132</v>
      </c>
      <c r="D34" s="12" t="s">
        <v>58</v>
      </c>
      <c r="E34" s="84">
        <f t="shared" si="0"/>
        <v>4.9916568702782875</v>
      </c>
      <c r="F34" s="14"/>
    </row>
    <row r="35" spans="1:19">
      <c r="A35" s="26">
        <v>0.15</v>
      </c>
      <c r="B35" s="12" t="s">
        <v>128</v>
      </c>
      <c r="C35" s="29">
        <f t="shared" si="1"/>
        <v>41100.75852996757</v>
      </c>
      <c r="D35" s="12" t="s">
        <v>58</v>
      </c>
      <c r="E35" s="84">
        <f t="shared" si="0"/>
        <v>4.1726658406058448</v>
      </c>
      <c r="F35" s="14"/>
    </row>
    <row r="36" spans="1:19">
      <c r="A36" s="26">
        <v>0.2</v>
      </c>
      <c r="B36" s="12" t="s">
        <v>128</v>
      </c>
      <c r="C36" s="29">
        <f t="shared" si="1"/>
        <v>29681.245277840535</v>
      </c>
      <c r="D36" s="12" t="s">
        <v>58</v>
      </c>
      <c r="E36" s="84">
        <f t="shared" si="0"/>
        <v>3.0133243936893943</v>
      </c>
      <c r="F36" s="14"/>
    </row>
    <row r="37" spans="1:19">
      <c r="A37" s="12" t="s">
        <v>197</v>
      </c>
      <c r="C37" s="25">
        <f>IRR(N91:N106, 1)</f>
        <v>1.0606725216927471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75">
        <f>D84</f>
        <v>2429.7520661157027</v>
      </c>
      <c r="G40" s="14" t="s">
        <v>76</v>
      </c>
      <c r="H40" s="75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2429.7520661157027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342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600</v>
      </c>
      <c r="C49" s="18">
        <f t="shared" ref="C49:C63" si="2">B49*E$11</f>
        <v>600</v>
      </c>
      <c r="D49" s="35">
        <f t="shared" ref="D49:D63" si="3">C49*(1-$E$26-G$26*(K49-E$14)/K49)+B49*$K$26</f>
        <v>525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Prices!I41</f>
        <v>73.241633258205994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550.79634887063855</v>
      </c>
      <c r="C50" s="18">
        <f t="shared" si="2"/>
        <v>550.79634887063855</v>
      </c>
      <c r="D50" s="35">
        <f t="shared" si="3"/>
        <v>481.94680526180872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Prices!I42</f>
        <v>77.934080610916538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505.62769654871028</v>
      </c>
      <c r="C51" s="18">
        <f t="shared" si="2"/>
        <v>505.62769654871028</v>
      </c>
      <c r="D51" s="35">
        <f t="shared" si="3"/>
        <v>442.42423448012147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Prices!I43</f>
        <v>81.182016650163078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464.16314857816803</v>
      </c>
      <c r="C52" s="18">
        <f t="shared" si="2"/>
        <v>464.16314857816803</v>
      </c>
      <c r="D52" s="35">
        <f t="shared" si="3"/>
        <v>406.14275500589702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Prices!I44</f>
        <v>84.39680433287252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425.99907003320095</v>
      </c>
      <c r="C53" s="18">
        <f t="shared" si="2"/>
        <v>425.99907003320095</v>
      </c>
      <c r="D53" s="35">
        <f t="shared" si="3"/>
        <v>372.74918627905083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Prices!I45</f>
        <v>87.610176450163081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391.06455399429092</v>
      </c>
      <c r="C54" s="18">
        <f t="shared" si="2"/>
        <v>391.06455399429092</v>
      </c>
      <c r="D54" s="35">
        <f t="shared" si="3"/>
        <v>342.18148474500458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Prices!I46</f>
        <v>90.772467881457203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358.99488085463355</v>
      </c>
      <c r="C55" s="18">
        <f t="shared" si="2"/>
        <v>358.99488085463355</v>
      </c>
      <c r="D55" s="35">
        <f t="shared" si="3"/>
        <v>314.12052074780433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Prices!I47</f>
        <v>92.942443376671307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329.5551160633035</v>
      </c>
      <c r="C56" s="18">
        <f t="shared" si="2"/>
        <v>329.5551160633035</v>
      </c>
      <c r="D56" s="35">
        <f t="shared" si="3"/>
        <v>288.36072655539056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Prices!I48</f>
        <v>95.154668381789719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302.45867944858679</v>
      </c>
      <c r="C57" s="18">
        <f t="shared" si="2"/>
        <v>302.45867944858679</v>
      </c>
      <c r="D57" s="35">
        <f t="shared" si="3"/>
        <v>264.65134451751345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Prices!I49</f>
        <v>97.409487887010471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277.65522720752739</v>
      </c>
      <c r="C58" s="18">
        <f t="shared" si="2"/>
        <v>277.65522720752739</v>
      </c>
      <c r="D58" s="35">
        <f t="shared" si="3"/>
        <v>242.94832380658647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Prices!I50</f>
        <v>99.467253782335675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254.88580898458949</v>
      </c>
      <c r="C59" s="18">
        <f t="shared" si="2"/>
        <v>254.88580898458949</v>
      </c>
      <c r="D59" s="35">
        <f t="shared" si="3"/>
        <v>223.02508286151581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Prices!I51</f>
        <v>101.32887499556735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233.98362161275148</v>
      </c>
      <c r="C60" s="18">
        <f t="shared" si="2"/>
        <v>233.98362161275148</v>
      </c>
      <c r="D60" s="35">
        <f t="shared" si="3"/>
        <v>204.73566891115755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Prices!I52</f>
        <v>103.26872863306367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214.74519361428</v>
      </c>
      <c r="C61" s="18">
        <f t="shared" si="2"/>
        <v>214.74519361428</v>
      </c>
      <c r="D61" s="35">
        <f t="shared" si="3"/>
        <v>187.902044412495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Prices!I53</f>
        <v>105.23737934330994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197.13478096710631</v>
      </c>
      <c r="C62" s="18">
        <f t="shared" si="2"/>
        <v>197.13478096710631</v>
      </c>
      <c r="D62" s="35">
        <f t="shared" si="3"/>
        <v>172.49293334621802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Prices!I54</f>
        <v>107.2604030677611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180.96852932015872</v>
      </c>
      <c r="C63" s="18">
        <f t="shared" si="2"/>
        <v>180.96852932015872</v>
      </c>
      <c r="D63" s="35">
        <f t="shared" si="3"/>
        <v>158.34746315513888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Prices!I55</f>
        <v>109.28838726670129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6</v>
      </c>
      <c r="C70" s="32">
        <f>D70</f>
        <v>209.89229248953271</v>
      </c>
      <c r="D70" s="39">
        <f>IF(B50=0,0,IF(E$6=1,(E$4)/(E$5/365)*LN((E$4)/B50)/1000,(E$4)^E$6*((E$4)^(1-E$6)-B50^(1-E$6))/((1-E$6)*E$5/365)/1000))</f>
        <v>209.89229248953271</v>
      </c>
      <c r="E70" s="15">
        <f t="shared" ref="E70:E84" si="9">C70*E$11</f>
        <v>209.89229248953271</v>
      </c>
      <c r="F70" s="39">
        <f t="shared" ref="F70:F84" si="10">D70*E$11</f>
        <v>209.89229248953271</v>
      </c>
      <c r="G70" s="15">
        <f t="shared" ref="G70:G84" si="11">IF(E70=0,0,(H92-I92)/H92*E70)+C70*$K$26</f>
        <v>183.65575592834111</v>
      </c>
      <c r="H70" s="15">
        <f>G70</f>
        <v>183.65575592834111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6</v>
      </c>
      <c r="C71" s="15">
        <f t="shared" ref="C71:C84" si="14">D71-D70</f>
        <v>192.67984726553797</v>
      </c>
      <c r="D71" s="39">
        <f t="shared" ref="D71:D83" si="15">IF(B51=0,D70,IF(E$6=1,(E$4)/(E$5/365)*LN((E$4)/B51)/1000,(E$4)^E$6*((E$4)^(1-E$6)-B51^(1-E$6))/((1-E$6)*E$5/365)/1000))</f>
        <v>402.57213975507068</v>
      </c>
      <c r="E71" s="15">
        <f t="shared" si="9"/>
        <v>192.67984726553797</v>
      </c>
      <c r="F71" s="39">
        <f t="shared" si="10"/>
        <v>402.57213975507068</v>
      </c>
      <c r="G71" s="15">
        <f t="shared" si="11"/>
        <v>168.59486635734569</v>
      </c>
      <c r="H71" s="15">
        <f t="shared" ref="H71:H84" si="16">G71+H70</f>
        <v>352.2506222856868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6</v>
      </c>
      <c r="C72" s="15">
        <f t="shared" si="14"/>
        <v>176.87892729135081</v>
      </c>
      <c r="D72" s="39">
        <f t="shared" si="15"/>
        <v>579.45106704642149</v>
      </c>
      <c r="E72" s="15">
        <f t="shared" si="9"/>
        <v>176.87892729135081</v>
      </c>
      <c r="F72" s="39">
        <f t="shared" si="10"/>
        <v>579.45106704642149</v>
      </c>
      <c r="G72" s="15">
        <f t="shared" si="11"/>
        <v>154.76906137993194</v>
      </c>
      <c r="H72" s="15">
        <f t="shared" si="16"/>
        <v>507.01968366561874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6</v>
      </c>
      <c r="C73" s="15">
        <f t="shared" si="14"/>
        <v>162.7998279130486</v>
      </c>
      <c r="D73" s="39">
        <f t="shared" si="15"/>
        <v>742.25089495947009</v>
      </c>
      <c r="E73" s="15">
        <f t="shared" si="9"/>
        <v>162.7998279130486</v>
      </c>
      <c r="F73" s="39">
        <f t="shared" si="10"/>
        <v>742.25089495947009</v>
      </c>
      <c r="G73" s="15">
        <f t="shared" si="11"/>
        <v>142.44984942391753</v>
      </c>
      <c r="H73" s="15">
        <f t="shared" si="16"/>
        <v>649.4695330895363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6</v>
      </c>
      <c r="C74" s="15">
        <f t="shared" si="14"/>
        <v>149.02320234612921</v>
      </c>
      <c r="D74" s="39">
        <f t="shared" si="15"/>
        <v>891.2740973055993</v>
      </c>
      <c r="E74" s="15">
        <f t="shared" si="9"/>
        <v>149.02320234612921</v>
      </c>
      <c r="F74" s="39">
        <f t="shared" si="10"/>
        <v>891.2740973055993</v>
      </c>
      <c r="G74" s="15">
        <f t="shared" si="11"/>
        <v>130.39530205286306</v>
      </c>
      <c r="H74" s="15">
        <f t="shared" si="16"/>
        <v>779.86483514239933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6</v>
      </c>
      <c r="C75" s="15">
        <f t="shared" si="14"/>
        <v>136.80239291543057</v>
      </c>
      <c r="D75" s="39">
        <f t="shared" si="15"/>
        <v>1028.0764902210299</v>
      </c>
      <c r="E75" s="15">
        <f t="shared" si="9"/>
        <v>136.80239291543057</v>
      </c>
      <c r="F75" s="39">
        <f t="shared" si="10"/>
        <v>1028.0764902210299</v>
      </c>
      <c r="G75" s="15">
        <f t="shared" si="11"/>
        <v>119.70209380100174</v>
      </c>
      <c r="H75" s="15">
        <f t="shared" si="16"/>
        <v>899.56692894340108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6</v>
      </c>
      <c r="C76" s="15">
        <f t="shared" si="14"/>
        <v>125.58376422430911</v>
      </c>
      <c r="D76" s="39">
        <f t="shared" si="15"/>
        <v>1153.660254445339</v>
      </c>
      <c r="E76" s="15">
        <f t="shared" si="9"/>
        <v>125.58376422430911</v>
      </c>
      <c r="F76" s="39">
        <f t="shared" si="10"/>
        <v>1153.660254445339</v>
      </c>
      <c r="G76" s="15">
        <f t="shared" si="11"/>
        <v>109.88579369627047</v>
      </c>
      <c r="H76" s="15">
        <f t="shared" si="16"/>
        <v>1009.4527226396715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6</v>
      </c>
      <c r="C77" s="15">
        <f t="shared" si="14"/>
        <v>115.58762548753998</v>
      </c>
      <c r="D77" s="39">
        <f t="shared" si="15"/>
        <v>1269.247879932879</v>
      </c>
      <c r="E77" s="15">
        <f t="shared" si="9"/>
        <v>115.58762548753998</v>
      </c>
      <c r="F77" s="39">
        <f t="shared" si="10"/>
        <v>1269.247879932879</v>
      </c>
      <c r="G77" s="15">
        <f t="shared" si="11"/>
        <v>101.13917230159747</v>
      </c>
      <c r="H77" s="15">
        <f t="shared" si="16"/>
        <v>1110.5918949412689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6</v>
      </c>
      <c r="C78" s="15">
        <f t="shared" si="14"/>
        <v>105.80624268803444</v>
      </c>
      <c r="D78" s="39">
        <f t="shared" si="15"/>
        <v>1375.0541226209134</v>
      </c>
      <c r="E78" s="15">
        <f t="shared" si="9"/>
        <v>105.80624268803444</v>
      </c>
      <c r="F78" s="39">
        <f t="shared" si="10"/>
        <v>1375.0541226209134</v>
      </c>
      <c r="G78" s="15">
        <f t="shared" si="11"/>
        <v>92.580462352030139</v>
      </c>
      <c r="H78" s="15">
        <f t="shared" si="16"/>
        <v>1203.172357293299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6</v>
      </c>
      <c r="C79" s="15">
        <f t="shared" si="14"/>
        <v>97.129486933816452</v>
      </c>
      <c r="D79" s="39">
        <f t="shared" si="15"/>
        <v>1472.1836095547299</v>
      </c>
      <c r="E79" s="15">
        <f t="shared" si="9"/>
        <v>97.129486933816452</v>
      </c>
      <c r="F79" s="39">
        <f t="shared" si="10"/>
        <v>1472.1836095547299</v>
      </c>
      <c r="G79" s="15">
        <f t="shared" si="11"/>
        <v>84.988301067089381</v>
      </c>
      <c r="H79" s="15">
        <f t="shared" si="16"/>
        <v>1288.1606583603884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6</v>
      </c>
      <c r="C80" s="15">
        <f t="shared" si="14"/>
        <v>89.164277951374515</v>
      </c>
      <c r="D80" s="39">
        <f t="shared" si="15"/>
        <v>1561.3478875061044</v>
      </c>
      <c r="E80" s="15">
        <f t="shared" si="9"/>
        <v>89.164277951374515</v>
      </c>
      <c r="F80" s="39">
        <f t="shared" si="10"/>
        <v>1561.3478875061044</v>
      </c>
      <c r="G80" s="15">
        <f t="shared" si="11"/>
        <v>78.018743207452701</v>
      </c>
      <c r="H80" s="15">
        <f t="shared" si="16"/>
        <v>1366.1794015678411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6</v>
      </c>
      <c r="C81" s="15">
        <f t="shared" si="14"/>
        <v>82.067034941729844</v>
      </c>
      <c r="D81" s="39">
        <f t="shared" si="15"/>
        <v>1643.4149224478342</v>
      </c>
      <c r="E81" s="15">
        <f t="shared" si="9"/>
        <v>82.067034941729844</v>
      </c>
      <c r="F81" s="39">
        <f t="shared" si="10"/>
        <v>1643.4149224478342</v>
      </c>
      <c r="G81" s="15">
        <f t="shared" si="11"/>
        <v>71.808655574013613</v>
      </c>
      <c r="H81" s="15">
        <f t="shared" si="16"/>
        <v>1437.9880571418546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6</v>
      </c>
      <c r="C82" s="15">
        <f t="shared" si="14"/>
        <v>75.12226831468297</v>
      </c>
      <c r="D82" s="39">
        <f t="shared" si="15"/>
        <v>1718.5371907625172</v>
      </c>
      <c r="E82" s="15">
        <f t="shared" si="9"/>
        <v>75.12226831468297</v>
      </c>
      <c r="F82" s="39">
        <f t="shared" si="10"/>
        <v>1718.5371907625172</v>
      </c>
      <c r="G82" s="15">
        <f t="shared" si="11"/>
        <v>65.731984775347598</v>
      </c>
      <c r="H82" s="15">
        <f t="shared" si="16"/>
        <v>1503.7200419172023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6</v>
      </c>
      <c r="C83" s="15">
        <f t="shared" si="14"/>
        <v>68.961785177679303</v>
      </c>
      <c r="D83" s="39">
        <f t="shared" si="15"/>
        <v>1787.4989759401965</v>
      </c>
      <c r="E83" s="15">
        <f t="shared" si="9"/>
        <v>68.961785177679303</v>
      </c>
      <c r="F83" s="39">
        <f t="shared" si="10"/>
        <v>1787.4989759401965</v>
      </c>
      <c r="G83" s="15">
        <f t="shared" si="11"/>
        <v>60.34156203046939</v>
      </c>
      <c r="H83" s="15">
        <f t="shared" si="16"/>
        <v>1564.0616039476718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6</v>
      </c>
      <c r="C84" s="15">
        <f t="shared" si="14"/>
        <v>642.25309017550626</v>
      </c>
      <c r="D84" s="39">
        <f>IF(B63=0,D83,IF(E$6=1,(E$4)/(E$5/365)*LN((E$4)/E7)/1000,(E$4)^E$6*((E$4)^(1-E$6)-E7^(1-E$6))/((1-E$6)*E$5/365)/1000))</f>
        <v>2429.7520661157027</v>
      </c>
      <c r="E84" s="15">
        <f t="shared" si="9"/>
        <v>642.25309017550626</v>
      </c>
      <c r="F84" s="39">
        <f t="shared" si="10"/>
        <v>2429.7520661157027</v>
      </c>
      <c r="G84" s="18">
        <f t="shared" si="11"/>
        <v>561.97145390356798</v>
      </c>
      <c r="H84" s="15">
        <f t="shared" si="16"/>
        <v>2126.0330578512398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9850</v>
      </c>
      <c r="N91" s="41">
        <f t="shared" ref="N91:N106" si="17">L91-M91</f>
        <v>-9850</v>
      </c>
    </row>
    <row r="92" spans="1:18">
      <c r="A92" s="38">
        <f t="shared" ref="A92:A106" si="18">A70</f>
        <v>42736</v>
      </c>
      <c r="B92" s="18">
        <f t="shared" ref="B92:G106" si="19">I70*$G$9*1000</f>
        <v>0</v>
      </c>
      <c r="C92" s="18">
        <f t="shared" si="19"/>
        <v>0</v>
      </c>
      <c r="D92" s="18">
        <f t="shared" si="19"/>
        <v>0</v>
      </c>
      <c r="E92" s="18">
        <f t="shared" si="19"/>
        <v>0</v>
      </c>
      <c r="F92" s="18">
        <f t="shared" si="19"/>
        <v>0</v>
      </c>
      <c r="G92" s="18">
        <f t="shared" si="19"/>
        <v>0</v>
      </c>
      <c r="H92" s="41">
        <f t="shared" ref="H92:H106" si="20">E70*K49+K70*L49+D92*M49/1000</f>
        <v>15372.854310242459</v>
      </c>
      <c r="I92" s="41">
        <f t="shared" ref="I92:I106" si="21">E70*K49*E$26+E70*(K49-E$14)*G$26+K70*L49*E$26+K70*(L49-E$15)*G$26+D92*M49*(E$26+G$26)/1000</f>
        <v>1921.6067887803074</v>
      </c>
      <c r="J92" s="41">
        <f t="shared" ref="J92:J106" si="22">C70*K49*I$26+C70*(K49-E$14)*K$26+I70*L49*I$26+I70*(L49-E$15)*K$26+B92*M49*(I$26+K$26)/1000</f>
        <v>0</v>
      </c>
      <c r="K92" s="41">
        <f t="shared" ref="K92:K106" si="23">IF(H92=0,0,((B70*E$16+E$19)*12+E70*(E$17+E$20)+K70*E$18)*(1+E$21)^((A49-A$49)/365))</f>
        <v>2698.922924895327</v>
      </c>
      <c r="L92" s="41">
        <f t="shared" ref="L92:L106" si="24">H92+J92-I92-K92</f>
        <v>10752.324596566825</v>
      </c>
      <c r="M92" s="41">
        <f t="shared" ref="M92:M104" si="25">IF(B71&lt;B70,E$24*(1+E$21/365)^(A49-A$49),0)</f>
        <v>0</v>
      </c>
      <c r="N92" s="41">
        <f t="shared" si="17"/>
        <v>10752.324596566825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19"/>
        <v>0</v>
      </c>
      <c r="D93" s="18">
        <f t="shared" si="19"/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41">
        <f t="shared" si="20"/>
        <v>15016.326748891523</v>
      </c>
      <c r="I93" s="41">
        <f t="shared" si="21"/>
        <v>1877.0408436114403</v>
      </c>
      <c r="J93" s="41">
        <f t="shared" si="22"/>
        <v>0</v>
      </c>
      <c r="K93" s="41">
        <f t="shared" si="23"/>
        <v>2577.3344421084871</v>
      </c>
      <c r="L93" s="41">
        <f t="shared" si="24"/>
        <v>10561.951463171594</v>
      </c>
      <c r="M93" s="41">
        <f t="shared" si="25"/>
        <v>0</v>
      </c>
      <c r="N93" s="41">
        <f t="shared" si="17"/>
        <v>10561.951463171594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19"/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41">
        <f t="shared" si="20"/>
        <v>14359.388020429426</v>
      </c>
      <c r="I94" s="41">
        <f t="shared" si="21"/>
        <v>1794.9235025536782</v>
      </c>
      <c r="J94" s="41">
        <f t="shared" si="22"/>
        <v>0</v>
      </c>
      <c r="K94" s="41">
        <f t="shared" si="23"/>
        <v>2464.4883595392139</v>
      </c>
      <c r="L94" s="41">
        <f t="shared" si="24"/>
        <v>10099.976158336533</v>
      </c>
      <c r="M94" s="41">
        <f t="shared" si="25"/>
        <v>0</v>
      </c>
      <c r="N94" s="41">
        <f t="shared" si="17"/>
        <v>10099.976158336533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19"/>
        <v>0</v>
      </c>
      <c r="D95" s="18">
        <f t="shared" si="19"/>
        <v>0</v>
      </c>
      <c r="E95" s="18">
        <f t="shared" si="19"/>
        <v>0</v>
      </c>
      <c r="F95" s="18">
        <f t="shared" si="19"/>
        <v>0</v>
      </c>
      <c r="G95" s="18">
        <f t="shared" si="19"/>
        <v>0</v>
      </c>
      <c r="H95" s="41">
        <f t="shared" si="20"/>
        <v>13739.78522180288</v>
      </c>
      <c r="I95" s="41">
        <f t="shared" si="21"/>
        <v>1717.47315272536</v>
      </c>
      <c r="J95" s="41">
        <f t="shared" si="22"/>
        <v>0</v>
      </c>
      <c r="K95" s="41">
        <f t="shared" si="23"/>
        <v>2364.3695977995048</v>
      </c>
      <c r="L95" s="41">
        <f t="shared" si="24"/>
        <v>9657.9424712780146</v>
      </c>
      <c r="M95" s="41">
        <f t="shared" si="25"/>
        <v>0</v>
      </c>
      <c r="N95" s="41">
        <f t="shared" si="17"/>
        <v>9657.9424712780146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19"/>
        <v>0</v>
      </c>
      <c r="D96" s="18">
        <f t="shared" si="19"/>
        <v>0</v>
      </c>
      <c r="E96" s="18">
        <f t="shared" si="19"/>
        <v>0</v>
      </c>
      <c r="F96" s="18">
        <f t="shared" si="19"/>
        <v>0</v>
      </c>
      <c r="G96" s="18">
        <f t="shared" si="19"/>
        <v>0</v>
      </c>
      <c r="H96" s="41">
        <f t="shared" si="20"/>
        <v>13055.949052712736</v>
      </c>
      <c r="I96" s="41">
        <f t="shared" si="21"/>
        <v>1631.993631589092</v>
      </c>
      <c r="J96" s="41">
        <f t="shared" si="22"/>
        <v>0</v>
      </c>
      <c r="K96" s="41">
        <f t="shared" si="23"/>
        <v>2262.6571184130198</v>
      </c>
      <c r="L96" s="41">
        <f t="shared" si="24"/>
        <v>9161.2983027106238</v>
      </c>
      <c r="M96" s="41">
        <f t="shared" si="25"/>
        <v>0</v>
      </c>
      <c r="N96" s="41">
        <f t="shared" si="17"/>
        <v>9161.2983027106238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19"/>
        <v>0</v>
      </c>
      <c r="D97" s="18">
        <f t="shared" si="19"/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41">
        <f t="shared" si="20"/>
        <v>12417.890817022409</v>
      </c>
      <c r="I97" s="41">
        <f t="shared" si="21"/>
        <v>1552.2363521278012</v>
      </c>
      <c r="J97" s="41">
        <f t="shared" si="22"/>
        <v>0</v>
      </c>
      <c r="K97" s="41">
        <f t="shared" si="23"/>
        <v>2172.9753293306699</v>
      </c>
      <c r="L97" s="41">
        <f t="shared" si="24"/>
        <v>8692.679135563938</v>
      </c>
      <c r="M97" s="41">
        <f t="shared" si="25"/>
        <v>0</v>
      </c>
      <c r="N97" s="41">
        <f t="shared" si="17"/>
        <v>8692.679135563938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19"/>
        <v>0</v>
      </c>
      <c r="D98" s="18">
        <f t="shared" si="19"/>
        <v>0</v>
      </c>
      <c r="E98" s="18">
        <f t="shared" si="19"/>
        <v>0</v>
      </c>
      <c r="F98" s="18">
        <f t="shared" si="19"/>
        <v>0</v>
      </c>
      <c r="G98" s="18">
        <f t="shared" si="19"/>
        <v>0</v>
      </c>
      <c r="H98" s="41">
        <f t="shared" si="20"/>
        <v>11672.061895447088</v>
      </c>
      <c r="I98" s="41">
        <f t="shared" si="21"/>
        <v>1459.007736930886</v>
      </c>
      <c r="J98" s="41">
        <f t="shared" si="22"/>
        <v>0</v>
      </c>
      <c r="K98" s="41">
        <f t="shared" si="23"/>
        <v>2090.088001034499</v>
      </c>
      <c r="L98" s="41">
        <f t="shared" si="24"/>
        <v>8122.9661574817037</v>
      </c>
      <c r="M98" s="41">
        <f t="shared" si="25"/>
        <v>0</v>
      </c>
      <c r="N98" s="41">
        <f t="shared" si="17"/>
        <v>8122.9661574817037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19"/>
        <v>0</v>
      </c>
      <c r="D99" s="18">
        <f t="shared" si="19"/>
        <v>0</v>
      </c>
      <c r="E99" s="18">
        <f t="shared" si="19"/>
        <v>0</v>
      </c>
      <c r="F99" s="18">
        <f t="shared" si="19"/>
        <v>0</v>
      </c>
      <c r="G99" s="18">
        <f t="shared" si="19"/>
        <v>0</v>
      </c>
      <c r="H99" s="41">
        <f t="shared" si="20"/>
        <v>10998.702172305371</v>
      </c>
      <c r="I99" s="41">
        <f t="shared" si="21"/>
        <v>1374.8377715381714</v>
      </c>
      <c r="J99" s="41">
        <f t="shared" si="22"/>
        <v>0</v>
      </c>
      <c r="K99" s="41">
        <f t="shared" si="23"/>
        <v>2017.0593182517568</v>
      </c>
      <c r="L99" s="41">
        <f t="shared" si="24"/>
        <v>7606.8050825154423</v>
      </c>
      <c r="M99" s="41">
        <f t="shared" si="25"/>
        <v>0</v>
      </c>
      <c r="N99" s="41">
        <f t="shared" si="17"/>
        <v>7606.8050825154423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19"/>
        <v>0</v>
      </c>
      <c r="D100" s="18">
        <f t="shared" si="19"/>
        <v>0</v>
      </c>
      <c r="E100" s="18">
        <f t="shared" si="19"/>
        <v>0</v>
      </c>
      <c r="F100" s="18">
        <f t="shared" si="19"/>
        <v>0</v>
      </c>
      <c r="G100" s="18">
        <f t="shared" si="19"/>
        <v>0</v>
      </c>
      <c r="H100" s="41">
        <f t="shared" si="20"/>
        <v>10306.531915490181</v>
      </c>
      <c r="I100" s="41">
        <f t="shared" si="21"/>
        <v>1288.3164894362726</v>
      </c>
      <c r="J100" s="41">
        <f t="shared" si="22"/>
        <v>0</v>
      </c>
      <c r="K100" s="41">
        <f t="shared" si="23"/>
        <v>1942.8952040967788</v>
      </c>
      <c r="L100" s="41">
        <f t="shared" si="24"/>
        <v>7075.3202219571294</v>
      </c>
      <c r="M100" s="41">
        <f t="shared" si="25"/>
        <v>0</v>
      </c>
      <c r="N100" s="41">
        <f t="shared" si="17"/>
        <v>7075.3202219571294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19"/>
        <v>0</v>
      </c>
      <c r="D101" s="18">
        <f t="shared" si="19"/>
        <v>0</v>
      </c>
      <c r="E101" s="18">
        <f t="shared" si="19"/>
        <v>0</v>
      </c>
      <c r="F101" s="18">
        <f t="shared" si="19"/>
        <v>0</v>
      </c>
      <c r="G101" s="18">
        <f t="shared" si="19"/>
        <v>0</v>
      </c>
      <c r="H101" s="41">
        <f t="shared" si="20"/>
        <v>9661.2033265939772</v>
      </c>
      <c r="I101" s="41">
        <f t="shared" si="21"/>
        <v>1207.6504158242471</v>
      </c>
      <c r="J101" s="41">
        <f t="shared" si="22"/>
        <v>0</v>
      </c>
      <c r="K101" s="41">
        <f t="shared" si="23"/>
        <v>1878.0465926334468</v>
      </c>
      <c r="L101" s="41">
        <f t="shared" si="24"/>
        <v>6575.5063181362821</v>
      </c>
      <c r="M101" s="41">
        <f t="shared" si="25"/>
        <v>0</v>
      </c>
      <c r="N101" s="41">
        <f t="shared" si="17"/>
        <v>6575.5063181362821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19"/>
        <v>0</v>
      </c>
      <c r="D102" s="18">
        <f t="shared" si="19"/>
        <v>0</v>
      </c>
      <c r="E102" s="18">
        <f t="shared" si="19"/>
        <v>0</v>
      </c>
      <c r="F102" s="18">
        <f t="shared" si="19"/>
        <v>0</v>
      </c>
      <c r="G102" s="18">
        <f t="shared" si="19"/>
        <v>0</v>
      </c>
      <c r="H102" s="41">
        <f t="shared" si="20"/>
        <v>9034.9159746048499</v>
      </c>
      <c r="I102" s="41">
        <f t="shared" si="21"/>
        <v>1129.3644968256062</v>
      </c>
      <c r="J102" s="41">
        <f t="shared" si="22"/>
        <v>0</v>
      </c>
      <c r="K102" s="41">
        <f t="shared" si="23"/>
        <v>1818.501535288194</v>
      </c>
      <c r="L102" s="41">
        <f t="shared" si="24"/>
        <v>6087.0499424910495</v>
      </c>
      <c r="M102" s="41">
        <f t="shared" si="25"/>
        <v>0</v>
      </c>
      <c r="N102" s="41">
        <f t="shared" si="17"/>
        <v>6087.0499424910495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19"/>
        <v>0</v>
      </c>
      <c r="D103" s="18">
        <f t="shared" si="19"/>
        <v>0</v>
      </c>
      <c r="E103" s="18">
        <f t="shared" si="19"/>
        <v>0</v>
      </c>
      <c r="F103" s="18">
        <f t="shared" si="19"/>
        <v>0</v>
      </c>
      <c r="G103" s="18">
        <f t="shared" si="19"/>
        <v>0</v>
      </c>
      <c r="H103" s="41">
        <f t="shared" si="20"/>
        <v>8474.9583611176531</v>
      </c>
      <c r="I103" s="41">
        <f t="shared" si="21"/>
        <v>1059.3697951397066</v>
      </c>
      <c r="J103" s="41">
        <f t="shared" si="22"/>
        <v>0</v>
      </c>
      <c r="K103" s="41">
        <f t="shared" si="23"/>
        <v>1766.6166940075784</v>
      </c>
      <c r="L103" s="41">
        <f t="shared" si="24"/>
        <v>5648.9718719703687</v>
      </c>
      <c r="M103" s="41">
        <f t="shared" si="25"/>
        <v>0</v>
      </c>
      <c r="N103" s="41">
        <f t="shared" si="17"/>
        <v>5648.9718719703687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19"/>
        <v>0</v>
      </c>
      <c r="D104" s="18">
        <f t="shared" si="19"/>
        <v>0</v>
      </c>
      <c r="E104" s="18">
        <f t="shared" si="19"/>
        <v>0</v>
      </c>
      <c r="F104" s="18">
        <f t="shared" si="19"/>
        <v>0</v>
      </c>
      <c r="G104" s="18">
        <f t="shared" si="19"/>
        <v>0</v>
      </c>
      <c r="H104" s="41">
        <f t="shared" si="20"/>
        <v>7905.6706477622047</v>
      </c>
      <c r="I104" s="41">
        <f t="shared" si="21"/>
        <v>988.20883097027559</v>
      </c>
      <c r="J104" s="41">
        <f t="shared" si="22"/>
        <v>0</v>
      </c>
      <c r="K104" s="41">
        <f t="shared" si="23"/>
        <v>1713.9560235718027</v>
      </c>
      <c r="L104" s="41">
        <f t="shared" si="24"/>
        <v>5203.5057932201262</v>
      </c>
      <c r="M104" s="41">
        <f t="shared" si="25"/>
        <v>0</v>
      </c>
      <c r="N104" s="41">
        <f t="shared" si="17"/>
        <v>5203.5057932201262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19"/>
        <v>0</v>
      </c>
      <c r="D105" s="18">
        <f t="shared" si="19"/>
        <v>0</v>
      </c>
      <c r="E105" s="18">
        <f t="shared" si="19"/>
        <v>0</v>
      </c>
      <c r="F105" s="18">
        <f t="shared" si="19"/>
        <v>0</v>
      </c>
      <c r="G105" s="18">
        <f t="shared" si="19"/>
        <v>0</v>
      </c>
      <c r="H105" s="41">
        <f t="shared" si="20"/>
        <v>7396.8688744302353</v>
      </c>
      <c r="I105" s="41">
        <f t="shared" si="21"/>
        <v>924.60860930377942</v>
      </c>
      <c r="J105" s="41">
        <f t="shared" si="22"/>
        <v>0</v>
      </c>
      <c r="K105" s="41">
        <f t="shared" si="23"/>
        <v>1668.5297538161176</v>
      </c>
      <c r="L105" s="41">
        <f t="shared" si="24"/>
        <v>4803.7305113103384</v>
      </c>
      <c r="M105" s="41">
        <f>IF(B84&lt;B83,E$24*(1+E$21/365)^(A62-A$49),0)</f>
        <v>0</v>
      </c>
      <c r="N105" s="41">
        <f t="shared" si="17"/>
        <v>4803.7305113103384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19"/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41">
        <f t="shared" si="20"/>
        <v>70190.804442336361</v>
      </c>
      <c r="I106" s="41">
        <f t="shared" si="21"/>
        <v>8773.8505552920451</v>
      </c>
      <c r="J106" s="41">
        <f t="shared" si="22"/>
        <v>0</v>
      </c>
      <c r="K106" s="41">
        <f t="shared" si="23"/>
        <v>9267.5886700376359</v>
      </c>
      <c r="L106" s="41">
        <f t="shared" si="24"/>
        <v>52149.365217006678</v>
      </c>
      <c r="M106" s="41">
        <f>IF(B85&lt;B84,E$24*(1+E$21/365)^(A63-A$49),0)</f>
        <v>1389.5040324386389</v>
      </c>
      <c r="N106" s="41">
        <f t="shared" si="17"/>
        <v>50759.861184568043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6" workbookViewId="0">
      <selection activeCell="A17" sqref="A17:J37"/>
    </sheetView>
    <sheetView topLeftCell="A5" workbookViewId="1">
      <selection activeCell="C24" sqref="C24"/>
    </sheetView>
  </sheetViews>
  <sheetFormatPr defaultRowHeight="15"/>
  <cols>
    <col min="1" max="1" width="23.140625" customWidth="1"/>
    <col min="2" max="2" width="13.5703125" customWidth="1"/>
    <col min="3" max="3" width="10.140625" customWidth="1"/>
    <col min="4" max="4" width="9.140625" customWidth="1"/>
    <col min="5" max="5" width="7.7109375" customWidth="1"/>
    <col min="6" max="6" width="9.28515625" customWidth="1"/>
    <col min="7" max="7" width="10.140625" customWidth="1"/>
    <col min="9" max="9" width="8.28515625" customWidth="1"/>
  </cols>
  <sheetData>
    <row r="1" spans="1:10">
      <c r="A1" t="s">
        <v>0</v>
      </c>
    </row>
    <row r="2" spans="1:10">
      <c r="A2" t="s">
        <v>405</v>
      </c>
    </row>
    <row r="4" spans="1:10">
      <c r="A4" t="s">
        <v>406</v>
      </c>
      <c r="B4" t="s">
        <v>415</v>
      </c>
      <c r="D4" s="1" t="s">
        <v>418</v>
      </c>
      <c r="F4" s="80" t="s">
        <v>434</v>
      </c>
      <c r="G4" s="80" t="s">
        <v>435</v>
      </c>
      <c r="H4" s="1" t="s">
        <v>425</v>
      </c>
      <c r="I4" s="1" t="s">
        <v>77</v>
      </c>
      <c r="J4" s="1" t="s">
        <v>206</v>
      </c>
    </row>
    <row r="5" spans="1:10">
      <c r="C5" s="1" t="s">
        <v>419</v>
      </c>
      <c r="D5" s="1" t="s">
        <v>420</v>
      </c>
      <c r="E5" s="1" t="s">
        <v>254</v>
      </c>
      <c r="H5" s="1" t="s">
        <v>426</v>
      </c>
    </row>
    <row r="6" spans="1:10">
      <c r="C6" s="69" t="s">
        <v>421</v>
      </c>
      <c r="D6" s="69" t="s">
        <v>421</v>
      </c>
      <c r="E6" s="69" t="s">
        <v>422</v>
      </c>
      <c r="F6" s="69" t="s">
        <v>423</v>
      </c>
      <c r="G6" s="69" t="s">
        <v>424</v>
      </c>
      <c r="H6" s="69" t="s">
        <v>421</v>
      </c>
      <c r="I6" s="69" t="s">
        <v>167</v>
      </c>
      <c r="J6" s="69" t="s">
        <v>168</v>
      </c>
    </row>
    <row r="7" spans="1:10">
      <c r="A7" s="87" t="s">
        <v>407</v>
      </c>
      <c r="B7" s="87" t="s">
        <v>238</v>
      </c>
      <c r="C7" s="93">
        <v>4175</v>
      </c>
      <c r="D7" s="93">
        <v>4175</v>
      </c>
      <c r="E7" s="93">
        <f t="shared" ref="E7:E15" si="0">C7*D7/43560</f>
        <v>400.15208907254362</v>
      </c>
      <c r="F7" s="93">
        <f>'Reserve input'!M6</f>
        <v>1329.2335542857143</v>
      </c>
      <c r="G7" s="87"/>
      <c r="H7" s="96">
        <v>13.4</v>
      </c>
      <c r="I7" s="91">
        <f>Devonian!I21</f>
        <v>7127.4008204108623</v>
      </c>
      <c r="J7" s="87"/>
    </row>
    <row r="8" spans="1:10">
      <c r="A8" s="87" t="s">
        <v>408</v>
      </c>
      <c r="B8" s="87" t="s">
        <v>487</v>
      </c>
      <c r="C8" s="93">
        <v>2952</v>
      </c>
      <c r="D8" s="93">
        <v>2952</v>
      </c>
      <c r="E8" s="93">
        <f t="shared" si="0"/>
        <v>200.05289256198347</v>
      </c>
      <c r="F8" s="87"/>
      <c r="G8" s="97">
        <f>'Reserve input'!O7</f>
        <v>248.59282026167398</v>
      </c>
      <c r="H8" s="96">
        <v>16</v>
      </c>
      <c r="I8" s="87"/>
      <c r="J8" s="91">
        <f>'Sil Carb'!I20</f>
        <v>795.70740421582605</v>
      </c>
    </row>
    <row r="9" spans="1:10">
      <c r="A9" s="87" t="s">
        <v>409</v>
      </c>
      <c r="B9" s="87" t="s">
        <v>350</v>
      </c>
      <c r="C9" s="93">
        <v>2087</v>
      </c>
      <c r="D9" s="93">
        <v>2087</v>
      </c>
      <c r="E9" s="93">
        <f t="shared" si="0"/>
        <v>99.990105601469239</v>
      </c>
      <c r="F9" s="93">
        <f>'Reserve input'!M8</f>
        <v>443.31428571428569</v>
      </c>
      <c r="G9" s="87"/>
      <c r="H9" s="96">
        <v>35</v>
      </c>
      <c r="I9" s="91">
        <f>'Sil Gu Oil'!I21</f>
        <v>1551.4464785123969</v>
      </c>
      <c r="J9" s="87"/>
    </row>
    <row r="10" spans="1:10">
      <c r="A10" s="87" t="s">
        <v>498</v>
      </c>
      <c r="B10" s="87" t="s">
        <v>506</v>
      </c>
      <c r="C10" s="93">
        <v>1807</v>
      </c>
      <c r="D10" s="93">
        <f>C10</f>
        <v>1807</v>
      </c>
      <c r="E10" s="93">
        <f t="shared" ref="E10" si="1">C10*D10/43560</f>
        <v>74.959802571166207</v>
      </c>
      <c r="F10" s="93"/>
      <c r="G10" s="97">
        <f>'Reserve input'!O9</f>
        <v>199.44995426943501</v>
      </c>
      <c r="H10" s="96">
        <v>120</v>
      </c>
      <c r="I10" s="87"/>
      <c r="J10" s="91">
        <f>'Sil Gu gas'!I21</f>
        <v>1794.0875033837974</v>
      </c>
    </row>
    <row r="11" spans="1:10">
      <c r="A11" s="87" t="s">
        <v>410</v>
      </c>
      <c r="B11" s="87" t="s">
        <v>416</v>
      </c>
      <c r="C11" s="93">
        <v>4175</v>
      </c>
      <c r="D11" s="93">
        <v>4175</v>
      </c>
      <c r="E11" s="93">
        <f t="shared" si="0"/>
        <v>400.15208907254362</v>
      </c>
      <c r="F11" s="87"/>
      <c r="G11" s="97">
        <f>'Reserve input'!O10</f>
        <v>221.94942475775358</v>
      </c>
      <c r="H11" s="96">
        <v>20</v>
      </c>
      <c r="I11" s="87"/>
      <c r="J11" s="91">
        <f>'Sil Clint Gas'!I21</f>
        <v>1776.2705197052883</v>
      </c>
    </row>
    <row r="12" spans="1:10">
      <c r="A12" s="87" t="s">
        <v>411</v>
      </c>
      <c r="B12" s="87" t="s">
        <v>488</v>
      </c>
      <c r="C12" s="93">
        <v>1500</v>
      </c>
      <c r="D12" s="93">
        <v>15000</v>
      </c>
      <c r="E12" s="93">
        <f t="shared" si="0"/>
        <v>516.52892561983469</v>
      </c>
      <c r="F12" s="87"/>
      <c r="G12" s="97">
        <f>'Reserve input'!O11</f>
        <v>427.63371948127798</v>
      </c>
      <c r="H12" s="96">
        <v>15</v>
      </c>
      <c r="I12" s="87"/>
      <c r="J12" s="91">
        <f>'Ord Gas'!I20</f>
        <v>3313.2777852371746</v>
      </c>
    </row>
    <row r="13" spans="1:10">
      <c r="A13" s="87" t="s">
        <v>412</v>
      </c>
      <c r="B13" s="87" t="s">
        <v>279</v>
      </c>
      <c r="C13" s="93">
        <v>1500</v>
      </c>
      <c r="D13" s="93">
        <v>15000</v>
      </c>
      <c r="E13" s="93">
        <f t="shared" si="0"/>
        <v>516.52892561983469</v>
      </c>
      <c r="F13" s="93">
        <f>'Reserve input'!M12</f>
        <v>607.14782608695657</v>
      </c>
      <c r="G13" s="87"/>
      <c r="H13" s="96">
        <v>42</v>
      </c>
      <c r="I13" s="91">
        <f>'Ord Oil'!I21</f>
        <v>7379.0524702650082</v>
      </c>
      <c r="J13" s="87"/>
    </row>
    <row r="14" spans="1:10">
      <c r="A14" s="87" t="s">
        <v>413</v>
      </c>
      <c r="B14" s="87" t="s">
        <v>417</v>
      </c>
      <c r="C14" s="93">
        <v>7000</v>
      </c>
      <c r="D14" s="93">
        <v>7000</v>
      </c>
      <c r="E14" s="93">
        <f t="shared" si="0"/>
        <v>1124.8852157943068</v>
      </c>
      <c r="F14" s="87"/>
      <c r="G14" s="97">
        <f>'Reserve input'!O13</f>
        <v>412.82540874006332</v>
      </c>
      <c r="H14" s="96">
        <v>20</v>
      </c>
      <c r="I14" s="87"/>
      <c r="J14" s="91">
        <f>'Cam Gas'!I21</f>
        <v>9287.6239799187824</v>
      </c>
    </row>
    <row r="15" spans="1:10">
      <c r="A15" s="87" t="s">
        <v>414</v>
      </c>
      <c r="B15" s="87" t="s">
        <v>342</v>
      </c>
      <c r="C15" s="93">
        <v>7000</v>
      </c>
      <c r="D15" s="93">
        <v>7000</v>
      </c>
      <c r="E15" s="93">
        <f t="shared" si="0"/>
        <v>1124.8852157943068</v>
      </c>
      <c r="F15" s="93">
        <f>'Reserve input'!M14</f>
        <v>413.76</v>
      </c>
      <c r="G15" s="87"/>
      <c r="H15" s="96">
        <v>20</v>
      </c>
      <c r="I15" s="91">
        <f>'Cam Oil'!I21</f>
        <v>12148.760330578514</v>
      </c>
      <c r="J15" s="87"/>
    </row>
    <row r="17" spans="1:10">
      <c r="A17" t="s">
        <v>441</v>
      </c>
      <c r="C17" t="s">
        <v>436</v>
      </c>
      <c r="D17" t="s">
        <v>438</v>
      </c>
      <c r="E17" t="s">
        <v>442</v>
      </c>
      <c r="G17" s="1" t="s">
        <v>258</v>
      </c>
      <c r="H17" s="1" t="s">
        <v>439</v>
      </c>
      <c r="I17" t="s">
        <v>440</v>
      </c>
    </row>
    <row r="18" spans="1:10">
      <c r="E18" s="1" t="s">
        <v>453</v>
      </c>
      <c r="F18" s="1" t="s">
        <v>454</v>
      </c>
      <c r="G18" s="1" t="s">
        <v>153</v>
      </c>
      <c r="H18" s="1" t="s">
        <v>320</v>
      </c>
    </row>
    <row r="19" spans="1:10" ht="26.25" customHeight="1">
      <c r="C19" s="79" t="s">
        <v>437</v>
      </c>
      <c r="D19" s="79" t="s">
        <v>437</v>
      </c>
      <c r="E19" s="81" t="s">
        <v>455</v>
      </c>
      <c r="F19" s="81" t="s">
        <v>456</v>
      </c>
      <c r="G19" s="69" t="s">
        <v>272</v>
      </c>
      <c r="H19" s="69" t="s">
        <v>263</v>
      </c>
      <c r="I19" s="69" t="s">
        <v>167</v>
      </c>
      <c r="J19" s="69" t="s">
        <v>168</v>
      </c>
    </row>
    <row r="20" spans="1:10">
      <c r="A20" s="101" t="s">
        <v>407</v>
      </c>
      <c r="B20" s="87" t="s">
        <v>427</v>
      </c>
      <c r="C20" s="87">
        <v>12.5</v>
      </c>
      <c r="D20" s="87">
        <v>12.5</v>
      </c>
      <c r="E20" s="87">
        <v>8</v>
      </c>
      <c r="F20" s="95">
        <f>Devonian!I28</f>
        <v>256.09733700642789</v>
      </c>
      <c r="G20" s="98">
        <f>Devonian!I29</f>
        <v>3.2367035330268683E-2</v>
      </c>
      <c r="H20" s="99">
        <v>0.35399999999999998</v>
      </c>
      <c r="I20" s="91">
        <f>Devonian!I31</f>
        <v>2523.0998904254452</v>
      </c>
      <c r="J20" s="91"/>
    </row>
    <row r="21" spans="1:10">
      <c r="A21" s="100"/>
      <c r="B21" s="87" t="s">
        <v>428</v>
      </c>
      <c r="C21" s="87">
        <v>25</v>
      </c>
      <c r="D21" s="87">
        <v>12.5</v>
      </c>
      <c r="E21" s="87">
        <v>25</v>
      </c>
      <c r="F21" s="95">
        <f>Devonian!I49</f>
        <v>400.15208907254356</v>
      </c>
      <c r="G21" s="98">
        <f>Devonian!I50</f>
        <v>5.1399130926765409E-2</v>
      </c>
      <c r="H21" s="99">
        <v>0.36</v>
      </c>
      <c r="I21" s="91">
        <f>Devonian!I52</f>
        <v>2565.8642953479102</v>
      </c>
      <c r="J21" s="87"/>
    </row>
    <row r="22" spans="1:10">
      <c r="A22" s="101" t="s">
        <v>408</v>
      </c>
      <c r="B22" s="87" t="s">
        <v>429</v>
      </c>
      <c r="C22" s="87">
        <v>100</v>
      </c>
      <c r="D22" s="87"/>
      <c r="E22" s="87">
        <v>100</v>
      </c>
      <c r="F22" s="95">
        <f>'Sil Carb'!I26</f>
        <v>200.05289256198347</v>
      </c>
      <c r="G22" s="98">
        <f>'Sil Carb'!I27</f>
        <v>7.7378273451258459E-2</v>
      </c>
      <c r="H22" s="99">
        <v>0.7</v>
      </c>
      <c r="I22" s="87"/>
      <c r="J22" s="91">
        <f>'Sil Carb'!I29</f>
        <v>556.99518295107816</v>
      </c>
    </row>
    <row r="23" spans="1:10">
      <c r="A23" s="100"/>
      <c r="B23" s="87" t="s">
        <v>430</v>
      </c>
      <c r="C23" s="87">
        <v>100</v>
      </c>
      <c r="D23" s="87"/>
      <c r="E23" s="87">
        <v>200</v>
      </c>
      <c r="F23" s="95">
        <f>'Sil Carb'!I46</f>
        <v>400.10578512396694</v>
      </c>
      <c r="G23" s="98">
        <f>'Sil Carb'!I47</f>
        <v>0.19457509254838343</v>
      </c>
      <c r="H23" s="99">
        <v>0.75</v>
      </c>
      <c r="I23" s="87"/>
      <c r="J23" s="91">
        <f>'Sil Carb'!I49</f>
        <v>596.78055316186953</v>
      </c>
    </row>
    <row r="24" spans="1:10">
      <c r="A24" s="101" t="s">
        <v>409</v>
      </c>
      <c r="B24" s="87" t="s">
        <v>427</v>
      </c>
      <c r="C24" s="87">
        <v>50</v>
      </c>
      <c r="D24" s="87">
        <v>50</v>
      </c>
      <c r="E24" s="87">
        <v>60</v>
      </c>
      <c r="F24" s="95">
        <f>'Sil Gu Oil'!I28</f>
        <v>119.98812672176308</v>
      </c>
      <c r="G24" s="98">
        <f>'Sil Gu Oil'!I29</f>
        <v>0.17777322088999534</v>
      </c>
      <c r="H24" s="99">
        <v>0.15</v>
      </c>
      <c r="I24" s="91">
        <f>'Sil Gu Oil'!I31</f>
        <v>232.71697177685951</v>
      </c>
      <c r="J24" s="95"/>
    </row>
    <row r="25" spans="1:10">
      <c r="A25" s="100"/>
      <c r="B25" s="87" t="s">
        <v>428</v>
      </c>
      <c r="C25" s="87">
        <v>50</v>
      </c>
      <c r="D25" s="87">
        <v>50</v>
      </c>
      <c r="E25" s="87">
        <v>150</v>
      </c>
      <c r="F25" s="95">
        <f>'Sil Gu Oil'!I49</f>
        <v>299.97031680440773</v>
      </c>
      <c r="G25" s="98">
        <f>'Sil Gu Oil'!I50</f>
        <v>0.19555120841457485</v>
      </c>
      <c r="H25" s="99">
        <v>0.35</v>
      </c>
      <c r="I25" s="91">
        <f>'Sil Gu Oil'!I52</f>
        <v>543.00626747933882</v>
      </c>
      <c r="J25" s="87"/>
    </row>
    <row r="26" spans="1:10">
      <c r="A26" s="101" t="s">
        <v>498</v>
      </c>
      <c r="B26" s="87" t="s">
        <v>429</v>
      </c>
      <c r="C26" s="87">
        <v>75</v>
      </c>
      <c r="D26" s="87"/>
      <c r="E26" s="87">
        <v>300</v>
      </c>
      <c r="F26" s="95">
        <f>'Sil Gu gas'!I27</f>
        <v>299.83921028466483</v>
      </c>
      <c r="G26" s="98">
        <f>'Sil Gu gas'!I28</f>
        <v>5.5405137288605737E-2</v>
      </c>
      <c r="H26" s="99">
        <v>0.8</v>
      </c>
      <c r="I26" s="91"/>
      <c r="J26" s="95">
        <f>'Sil Gu gas'!I30</f>
        <v>1435.270002707038</v>
      </c>
    </row>
    <row r="27" spans="1:10">
      <c r="A27" s="100"/>
      <c r="B27" s="87" t="s">
        <v>430</v>
      </c>
      <c r="C27" s="87">
        <v>75</v>
      </c>
      <c r="D27" s="87"/>
      <c r="E27" s="87">
        <v>750</v>
      </c>
      <c r="F27" s="95">
        <v>750</v>
      </c>
      <c r="G27" s="98">
        <f>'Sil Gu gas'!I48</f>
        <v>0.16978220036470359</v>
      </c>
      <c r="H27" s="99">
        <v>0.8</v>
      </c>
      <c r="I27" s="91"/>
      <c r="J27" s="95">
        <f>'Sil Gu gas'!I50</f>
        <v>1435.270002707038</v>
      </c>
    </row>
    <row r="28" spans="1:10">
      <c r="A28" s="101" t="s">
        <v>410</v>
      </c>
      <c r="B28" s="87" t="s">
        <v>429</v>
      </c>
      <c r="C28" s="87">
        <v>100</v>
      </c>
      <c r="D28" s="87"/>
      <c r="E28" s="87">
        <v>60</v>
      </c>
      <c r="F28" s="87">
        <f>'Sil Clint Gas'!I27</f>
        <v>240</v>
      </c>
      <c r="G28" s="98">
        <f>'Sil Clint Gas'!I28</f>
        <v>6.270687961453994E-2</v>
      </c>
      <c r="H28" s="99">
        <v>0.5</v>
      </c>
      <c r="I28" s="87"/>
      <c r="J28" s="91">
        <f>'Sil Clint Gas'!I30</f>
        <v>888.13525985264414</v>
      </c>
    </row>
    <row r="29" spans="1:10">
      <c r="A29" s="100"/>
      <c r="B29" s="87" t="s">
        <v>430</v>
      </c>
      <c r="C29" s="87">
        <v>200</v>
      </c>
      <c r="D29" s="87"/>
      <c r="E29" s="87">
        <v>120</v>
      </c>
      <c r="F29" s="95">
        <f>'Sil Clint Gas'!I48</f>
        <v>240</v>
      </c>
      <c r="G29" s="98">
        <f>'Sil Clint Gas'!I49</f>
        <v>6.270687961453994E-2</v>
      </c>
      <c r="H29" s="99">
        <v>0.5</v>
      </c>
      <c r="I29" s="87"/>
      <c r="J29" s="91">
        <f>'Sil Clint Gas'!I51</f>
        <v>888.13525985264414</v>
      </c>
    </row>
    <row r="30" spans="1:10">
      <c r="A30" s="101" t="s">
        <v>411</v>
      </c>
      <c r="B30" s="87" t="s">
        <v>429</v>
      </c>
      <c r="C30" s="87">
        <v>100</v>
      </c>
      <c r="D30" s="87"/>
      <c r="E30" s="87">
        <v>400</v>
      </c>
      <c r="F30" s="87">
        <f>'Ord Gas'!I26</f>
        <v>2000</v>
      </c>
      <c r="G30" s="98">
        <f>'Ord Gas'!I27</f>
        <v>0.30099334343749801</v>
      </c>
      <c r="H30" s="99">
        <v>0.7</v>
      </c>
      <c r="I30" s="87"/>
      <c r="J30" s="91">
        <f>'Ord Gas'!I29</f>
        <v>2319.294449666022</v>
      </c>
    </row>
    <row r="31" spans="1:10">
      <c r="A31" s="100"/>
      <c r="B31" s="87" t="s">
        <v>430</v>
      </c>
      <c r="C31" s="87">
        <v>200</v>
      </c>
      <c r="D31" s="87"/>
      <c r="E31" s="87">
        <v>600</v>
      </c>
      <c r="F31" s="95">
        <f>'Ord Gas'!I47</f>
        <v>1800</v>
      </c>
      <c r="G31" s="98">
        <f>'Ord Gas'!I48</f>
        <v>0.25155037049462159</v>
      </c>
      <c r="H31" s="99">
        <v>0.75</v>
      </c>
      <c r="I31" s="87"/>
      <c r="J31" s="91">
        <f>'Ord Gas'!I50</f>
        <v>2484.958338927881</v>
      </c>
    </row>
    <row r="32" spans="1:10">
      <c r="A32" s="101" t="s">
        <v>412</v>
      </c>
      <c r="B32" s="87" t="s">
        <v>429</v>
      </c>
      <c r="C32" s="87">
        <v>50</v>
      </c>
      <c r="D32" s="87"/>
      <c r="E32" s="87">
        <v>70</v>
      </c>
      <c r="F32" s="87">
        <f>'Ord Oil'!I27</f>
        <v>980</v>
      </c>
      <c r="G32" s="98">
        <f>'Ord Oil'!I28</f>
        <v>0.18094132714806097</v>
      </c>
      <c r="H32" s="99">
        <v>0.26</v>
      </c>
      <c r="I32" s="91">
        <f>'Ord Oil'!I30</f>
        <v>1918.5536422689022</v>
      </c>
      <c r="J32" s="87"/>
    </row>
    <row r="33" spans="1:10">
      <c r="A33" s="100"/>
      <c r="B33" s="87" t="s">
        <v>430</v>
      </c>
      <c r="C33" s="87">
        <v>100</v>
      </c>
      <c r="D33" s="87"/>
      <c r="E33" s="87">
        <v>200</v>
      </c>
      <c r="F33" s="87">
        <f>'Ord Oil'!I48</f>
        <v>1400</v>
      </c>
      <c r="G33" s="98">
        <f>'Ord Oil'!I49</f>
        <v>0.19946991211768303</v>
      </c>
      <c r="H33" s="99">
        <v>0.34</v>
      </c>
      <c r="I33" s="91">
        <f>'Ord Oil'!I51</f>
        <v>2508.8778398901031</v>
      </c>
      <c r="J33" s="87"/>
    </row>
    <row r="34" spans="1:10">
      <c r="A34" s="101" t="s">
        <v>413</v>
      </c>
      <c r="B34" s="87" t="s">
        <v>429</v>
      </c>
      <c r="C34" s="87">
        <v>100</v>
      </c>
      <c r="D34" s="87"/>
      <c r="E34" s="87">
        <v>150</v>
      </c>
      <c r="F34" s="87">
        <f>'Cam Gas'!I27</f>
        <v>1650</v>
      </c>
      <c r="G34" s="98">
        <f>'Cam Gas'!I28</f>
        <v>8.8032667532277439E-2</v>
      </c>
      <c r="H34" s="99">
        <v>0.7</v>
      </c>
      <c r="I34" s="87"/>
      <c r="J34" s="91">
        <f>'Cam Gas'!I30</f>
        <v>6501.3367859431473</v>
      </c>
    </row>
    <row r="35" spans="1:10">
      <c r="A35" s="100"/>
      <c r="B35" s="87" t="s">
        <v>430</v>
      </c>
      <c r="C35" s="87">
        <v>400</v>
      </c>
      <c r="D35" s="87"/>
      <c r="E35" s="87">
        <v>600</v>
      </c>
      <c r="F35" s="87">
        <f>'Cam Gas'!I48</f>
        <v>1800</v>
      </c>
      <c r="G35" s="98">
        <f>'Cam Gas'!I49</f>
        <v>9.0023745025012217E-2</v>
      </c>
      <c r="H35" s="99">
        <v>0.75</v>
      </c>
      <c r="I35" s="87"/>
      <c r="J35" s="91">
        <f>'Cam Gas'!I51</f>
        <v>6965.7179849390868</v>
      </c>
    </row>
    <row r="36" spans="1:10">
      <c r="A36" s="101" t="s">
        <v>414</v>
      </c>
      <c r="B36" s="87" t="s">
        <v>432</v>
      </c>
      <c r="C36" s="87">
        <v>100</v>
      </c>
      <c r="D36" s="87">
        <v>500</v>
      </c>
      <c r="E36" s="87">
        <v>40</v>
      </c>
      <c r="F36" s="87">
        <f>'Cam Oil'!I28</f>
        <v>400</v>
      </c>
      <c r="G36" s="98">
        <f>'Cam Oil'!I29</f>
        <v>9.2533832452847034E-2</v>
      </c>
      <c r="H36" s="99">
        <v>0.12</v>
      </c>
      <c r="I36" s="91">
        <f>'Cam Oil'!I31</f>
        <v>1457.8512396694216</v>
      </c>
      <c r="J36" s="87"/>
    </row>
    <row r="37" spans="1:10">
      <c r="A37" s="100"/>
      <c r="B37" s="87" t="s">
        <v>433</v>
      </c>
      <c r="C37" s="87">
        <v>150</v>
      </c>
      <c r="D37" s="87">
        <v>500</v>
      </c>
      <c r="E37" s="87">
        <v>100</v>
      </c>
      <c r="F37" s="87">
        <f>'Cam Oil'!I50</f>
        <v>600</v>
      </c>
      <c r="G37" s="98">
        <f>'Cam Oil'!I51</f>
        <v>8.5564517158783035E-2</v>
      </c>
      <c r="H37" s="99">
        <v>0.2</v>
      </c>
      <c r="I37" s="91">
        <f>'Cam Oil'!I53</f>
        <v>2429.7520661157027</v>
      </c>
      <c r="J37" s="87"/>
    </row>
    <row r="39" spans="1:10">
      <c r="A39" t="s">
        <v>443</v>
      </c>
      <c r="D39" s="1" t="s">
        <v>449</v>
      </c>
      <c r="F39" t="s">
        <v>445</v>
      </c>
      <c r="H39" t="s">
        <v>444</v>
      </c>
      <c r="J39" s="1" t="s">
        <v>197</v>
      </c>
    </row>
    <row r="40" spans="1:10">
      <c r="C40" s="1" t="s">
        <v>450</v>
      </c>
      <c r="D40" s="1" t="s">
        <v>451</v>
      </c>
      <c r="E40" s="1" t="s">
        <v>452</v>
      </c>
      <c r="F40" s="82" t="s">
        <v>446</v>
      </c>
      <c r="G40" s="82" t="s">
        <v>447</v>
      </c>
      <c r="H40" t="s">
        <v>203</v>
      </c>
      <c r="I40" t="s">
        <v>203</v>
      </c>
      <c r="J40" s="1"/>
    </row>
    <row r="41" spans="1:10">
      <c r="C41" s="1" t="s">
        <v>55</v>
      </c>
      <c r="D41" s="1" t="s">
        <v>55</v>
      </c>
      <c r="E41" s="1" t="s">
        <v>55</v>
      </c>
      <c r="F41" s="83" t="s">
        <v>448</v>
      </c>
      <c r="G41" s="68" t="s">
        <v>510</v>
      </c>
      <c r="H41" s="1" t="s">
        <v>55</v>
      </c>
      <c r="I41" s="1" t="s">
        <v>55</v>
      </c>
      <c r="J41" s="1" t="s">
        <v>263</v>
      </c>
    </row>
    <row r="42" spans="1:10">
      <c r="A42" s="101" t="s">
        <v>407</v>
      </c>
      <c r="B42" s="87" t="s">
        <v>427</v>
      </c>
      <c r="C42" s="102">
        <f>SUM(Devonian!I23:I24)</f>
        <v>7618.8957759412297</v>
      </c>
      <c r="D42" s="102">
        <f>Devonian!I25</f>
        <v>500</v>
      </c>
      <c r="E42" s="102">
        <f t="shared" ref="E42:E59" si="2">C42+D42</f>
        <v>8118.8957759412297</v>
      </c>
      <c r="F42" s="103">
        <v>50</v>
      </c>
      <c r="G42" s="103">
        <v>10</v>
      </c>
      <c r="H42" s="102">
        <f>Devonian!I39</f>
        <v>34791.640768319638</v>
      </c>
      <c r="I42" s="102">
        <f>Devonian!I40</f>
        <v>26497.058563396651</v>
      </c>
      <c r="J42" s="104">
        <f>Devonian!I41</f>
        <v>0.5329607107388632</v>
      </c>
    </row>
    <row r="43" spans="1:10">
      <c r="A43" s="100"/>
      <c r="B43" s="87" t="s">
        <v>428</v>
      </c>
      <c r="C43" s="102">
        <f>SUM(Devonian!I44:I45)</f>
        <v>10019.808310376491</v>
      </c>
      <c r="D43" s="102">
        <f>Devonian!I46</f>
        <v>500</v>
      </c>
      <c r="E43" s="102">
        <f t="shared" si="2"/>
        <v>10519.808310376491</v>
      </c>
      <c r="F43" s="103">
        <v>60</v>
      </c>
      <c r="G43" s="103">
        <v>10</v>
      </c>
      <c r="H43" s="102">
        <f>Devonian!I61</f>
        <v>39267.488631915396</v>
      </c>
      <c r="I43" s="102">
        <f>Devonian!I62</f>
        <v>31063.251382180457</v>
      </c>
      <c r="J43" s="104">
        <f>Devonian!I63</f>
        <v>0.62378320458252823</v>
      </c>
    </row>
    <row r="44" spans="1:10">
      <c r="A44" s="101" t="s">
        <v>408</v>
      </c>
      <c r="B44" s="87" t="s">
        <v>429</v>
      </c>
      <c r="C44" s="102">
        <f>SUM('Sil Carb'!I22)</f>
        <v>540.14280991735541</v>
      </c>
      <c r="D44" s="102">
        <f>'Sil Carb'!I23</f>
        <v>400</v>
      </c>
      <c r="E44" s="102">
        <f t="shared" si="2"/>
        <v>940.14280991735541</v>
      </c>
      <c r="F44" s="103">
        <v>10</v>
      </c>
      <c r="G44" s="105">
        <v>0.25</v>
      </c>
      <c r="H44" s="102">
        <f>'Sil Carb'!I37</f>
        <v>-432.30326191541371</v>
      </c>
      <c r="I44" s="102">
        <f>'Sil Carb'!I38</f>
        <v>-443.66415616001439</v>
      </c>
      <c r="J44" s="104">
        <f>'Sil Carb'!I39</f>
        <v>0</v>
      </c>
    </row>
    <row r="45" spans="1:10">
      <c r="A45" s="100"/>
      <c r="B45" s="87" t="s">
        <v>430</v>
      </c>
      <c r="C45" s="102">
        <f>'Sil Carb'!I42</f>
        <v>1180.3120661157025</v>
      </c>
      <c r="D45" s="102">
        <f>'Sil Carb'!I43</f>
        <v>400</v>
      </c>
      <c r="E45" s="102">
        <f t="shared" si="2"/>
        <v>1580.3120661157025</v>
      </c>
      <c r="F45" s="103">
        <v>10</v>
      </c>
      <c r="G45" s="105">
        <v>0.25</v>
      </c>
      <c r="H45" s="102">
        <f>'Sil Carb'!I57</f>
        <v>-617.9789265269477</v>
      </c>
      <c r="I45" s="102">
        <f>'Sil Carb'!I58</f>
        <v>-635.96426223005642</v>
      </c>
      <c r="J45" s="104">
        <f>'Sil Carb'!I59</f>
        <v>0</v>
      </c>
    </row>
    <row r="46" spans="1:10">
      <c r="A46" s="101" t="s">
        <v>431</v>
      </c>
      <c r="B46" s="87" t="s">
        <v>427</v>
      </c>
      <c r="C46" s="102">
        <f>SUM('Sil Gu Oil'!I23:I24)</f>
        <v>1379.8634573002755</v>
      </c>
      <c r="D46" s="102">
        <f>'Sil Gu Oil'!I25</f>
        <v>500</v>
      </c>
      <c r="E46" s="102">
        <f t="shared" si="2"/>
        <v>1879.8634573002755</v>
      </c>
      <c r="F46" s="103">
        <v>10</v>
      </c>
      <c r="G46" s="103">
        <v>10</v>
      </c>
      <c r="H46" s="102">
        <f>'Sil Gu Oil'!I39</f>
        <v>4549.8209637509462</v>
      </c>
      <c r="I46" s="102">
        <f>'Sil Gu Oil'!I40</f>
        <v>3971.2434808538505</v>
      </c>
      <c r="J46" s="104">
        <f>'Sil Gu Oil'!I41</f>
        <v>0.87374726638510114</v>
      </c>
    </row>
    <row r="47" spans="1:10">
      <c r="A47" s="100"/>
      <c r="B47" s="87" t="s">
        <v>428</v>
      </c>
      <c r="C47" s="102">
        <f>SUM('Sil Gu Oil'!I44:I45)</f>
        <v>1919.8100275482093</v>
      </c>
      <c r="D47" s="102">
        <f>'Sil Gu Oil'!I46</f>
        <v>500</v>
      </c>
      <c r="E47" s="102">
        <f t="shared" si="2"/>
        <v>2419.8100275482093</v>
      </c>
      <c r="F47" s="103">
        <v>15</v>
      </c>
      <c r="G47" s="103">
        <v>5</v>
      </c>
      <c r="H47" s="102">
        <f>'Sil Gu Oil'!I61</f>
        <v>14763.029951401848</v>
      </c>
      <c r="I47" s="102">
        <f>'Sil Gu Oil'!I62</f>
        <v>13142.149196542738</v>
      </c>
      <c r="J47" s="104">
        <f>'Sil Gu Oil'!I63</f>
        <v>2.037095237388272</v>
      </c>
    </row>
    <row r="48" spans="1:10">
      <c r="A48" s="101" t="s">
        <v>498</v>
      </c>
      <c r="B48" s="87" t="s">
        <v>429</v>
      </c>
      <c r="C48" s="102">
        <f>'Sil Gu gas'!I23</f>
        <v>269.85528925619832</v>
      </c>
      <c r="D48" s="102">
        <f>'Sil Gu gas'!I24</f>
        <v>400</v>
      </c>
      <c r="E48" s="102">
        <f t="shared" si="2"/>
        <v>669.85528925619838</v>
      </c>
      <c r="F48" s="103">
        <v>10</v>
      </c>
      <c r="G48" s="105">
        <v>0.25</v>
      </c>
      <c r="H48" s="102">
        <f>'Sil Gu gas'!I38</f>
        <v>867.37863982608565</v>
      </c>
      <c r="I48" s="102">
        <f>'Sil Gu gas'!I39</f>
        <v>666.76638988523462</v>
      </c>
      <c r="J48" s="104">
        <f>'Sil Gu gas'!I40</f>
        <v>0.36661421200936073</v>
      </c>
    </row>
    <row r="49" spans="1:10">
      <c r="A49" s="100"/>
      <c r="B49" s="87" t="s">
        <v>430</v>
      </c>
      <c r="C49" s="102">
        <f>'Sil Gu gas'!I43</f>
        <v>589.68378022650745</v>
      </c>
      <c r="D49" s="102">
        <f>'Sil Gu gas'!I44</f>
        <v>400</v>
      </c>
      <c r="E49" s="102">
        <f t="shared" si="2"/>
        <v>989.68378022650745</v>
      </c>
      <c r="F49" s="103">
        <v>10</v>
      </c>
      <c r="G49" s="105">
        <v>0.25</v>
      </c>
      <c r="H49" s="102">
        <f>'Sil Gu gas'!I58</f>
        <v>1444.6021461897481</v>
      </c>
      <c r="I49" s="102">
        <f>'Sil Gu gas'!I59</f>
        <v>1267.0762642967961</v>
      </c>
      <c r="J49" s="104">
        <f>'Sil Gu gas'!I60</f>
        <v>0.68188866927876779</v>
      </c>
    </row>
    <row r="50" spans="1:10">
      <c r="A50" s="101" t="s">
        <v>410</v>
      </c>
      <c r="B50" s="87" t="s">
        <v>429</v>
      </c>
      <c r="C50" s="102">
        <f>'Sil Clint Gas'!I23</f>
        <v>1280</v>
      </c>
      <c r="D50" s="102">
        <f>'Sil Clint Gas'!I24</f>
        <v>400</v>
      </c>
      <c r="E50" s="102">
        <f t="shared" si="2"/>
        <v>1680</v>
      </c>
      <c r="F50" s="103">
        <v>10</v>
      </c>
      <c r="G50" s="105">
        <v>0.5</v>
      </c>
      <c r="H50" s="102">
        <f>'Sil Clint Gas'!I39</f>
        <v>-818.15404420979019</v>
      </c>
      <c r="I50" s="102">
        <f>'Sil Clint Gas'!I40</f>
        <v>-857.45017777564408</v>
      </c>
      <c r="J50" s="104">
        <f>'Sil Clint Gas'!I41</f>
        <v>0</v>
      </c>
    </row>
    <row r="51" spans="1:10">
      <c r="A51" s="100"/>
      <c r="B51" s="87" t="s">
        <v>430</v>
      </c>
      <c r="C51" s="102">
        <f>'Sil Clint Gas'!I44</f>
        <v>1280</v>
      </c>
      <c r="D51" s="102">
        <f>'Sil Clint Gas'!I45</f>
        <v>400</v>
      </c>
      <c r="E51" s="102">
        <f t="shared" si="2"/>
        <v>1680</v>
      </c>
      <c r="F51" s="103">
        <v>10</v>
      </c>
      <c r="G51" s="105">
        <v>0.5</v>
      </c>
      <c r="H51" s="102">
        <f>'Sil Clint Gas'!I60</f>
        <v>-818.15404420979019</v>
      </c>
      <c r="I51" s="102">
        <f>'Sil Clint Gas'!I61</f>
        <v>-857.45017777564408</v>
      </c>
      <c r="J51" s="104">
        <f>'Sil Clint Gas'!I62</f>
        <v>0</v>
      </c>
    </row>
    <row r="52" spans="1:10">
      <c r="A52" s="101" t="s">
        <v>411</v>
      </c>
      <c r="B52" s="87" t="s">
        <v>429</v>
      </c>
      <c r="C52" s="102">
        <f>'Ord Gas'!I22</f>
        <v>3150</v>
      </c>
      <c r="D52" s="102">
        <f>'Ord Gas'!I23</f>
        <v>400</v>
      </c>
      <c r="E52" s="102">
        <f t="shared" si="2"/>
        <v>3550</v>
      </c>
      <c r="F52" s="103">
        <v>10</v>
      </c>
      <c r="G52" s="105">
        <v>0.5</v>
      </c>
      <c r="H52" s="102">
        <f>'Ord Gas'!I38</f>
        <v>1331.7938604099909</v>
      </c>
      <c r="I52" s="102">
        <f>'Ord Gas'!I39</f>
        <v>1086.4346092469425</v>
      </c>
      <c r="J52" s="104">
        <f>'Ord Gas'!I40</f>
        <v>0.32108229432713631</v>
      </c>
    </row>
    <row r="53" spans="1:10">
      <c r="A53" s="100"/>
      <c r="B53" s="87" t="s">
        <v>430</v>
      </c>
      <c r="C53" s="102">
        <f>'Ord Gas'!I43</f>
        <v>3720</v>
      </c>
      <c r="D53" s="102">
        <f>'Ord Gas'!I44</f>
        <v>400</v>
      </c>
      <c r="E53" s="102">
        <f t="shared" si="2"/>
        <v>4120</v>
      </c>
      <c r="F53" s="103">
        <v>10</v>
      </c>
      <c r="G53" s="105">
        <v>0.5</v>
      </c>
      <c r="H53" s="102">
        <f>'Ord Gas'!I59</f>
        <v>892.43857861695733</v>
      </c>
      <c r="I53" s="102">
        <f>'Ord Gas'!I60</f>
        <v>634.72351931411265</v>
      </c>
      <c r="J53" s="104">
        <f>'Ord Gas'!I61</f>
        <v>0.22971921871088519</v>
      </c>
    </row>
    <row r="54" spans="1:10">
      <c r="A54" s="101" t="s">
        <v>412</v>
      </c>
      <c r="B54" s="87" t="s">
        <v>429</v>
      </c>
      <c r="C54" s="102">
        <f>SUM('Ord Oil'!I23)</f>
        <v>9450</v>
      </c>
      <c r="D54" s="102">
        <f>'Ord Oil'!I24</f>
        <v>900</v>
      </c>
      <c r="E54" s="102">
        <f t="shared" si="2"/>
        <v>10350</v>
      </c>
      <c r="F54" s="103">
        <v>50</v>
      </c>
      <c r="G54" s="103">
        <v>8</v>
      </c>
      <c r="H54" s="102">
        <f>'Ord Oil'!I39</f>
        <v>55089.427484974971</v>
      </c>
      <c r="I54" s="102">
        <f>'Ord Oil'!I40</f>
        <v>48731.495294566957</v>
      </c>
      <c r="J54" s="104">
        <f>'Ord Oil'!I41</f>
        <v>1.7289789327950156</v>
      </c>
    </row>
    <row r="55" spans="1:10">
      <c r="A55" s="100"/>
      <c r="B55" s="87" t="s">
        <v>430</v>
      </c>
      <c r="C55" s="102">
        <f>SUM('Ord Oil'!I44)</f>
        <v>9100</v>
      </c>
      <c r="D55" s="102">
        <f>'Ord Oil'!I45</f>
        <v>900</v>
      </c>
      <c r="E55" s="102">
        <f t="shared" si="2"/>
        <v>10000</v>
      </c>
      <c r="F55" s="103">
        <v>50</v>
      </c>
      <c r="G55" s="103">
        <v>8</v>
      </c>
      <c r="H55" s="102">
        <f>'Ord Oil'!I60</f>
        <v>78404.161145474311</v>
      </c>
      <c r="I55" s="102">
        <f>'Ord Oil'!I61</f>
        <v>69981.058851470239</v>
      </c>
      <c r="J55" s="104">
        <f>'Ord Oil'!I62</f>
        <v>2.6027948477556797</v>
      </c>
    </row>
    <row r="56" spans="1:10">
      <c r="A56" s="101" t="s">
        <v>413</v>
      </c>
      <c r="B56" s="87" t="s">
        <v>429</v>
      </c>
      <c r="C56" s="102">
        <f>'Cam Gas'!I23</f>
        <v>6930</v>
      </c>
      <c r="D56" s="102">
        <f>'Cam Gas'!I24</f>
        <v>400</v>
      </c>
      <c r="E56" s="102">
        <f t="shared" si="2"/>
        <v>7330</v>
      </c>
      <c r="F56" s="103">
        <v>10</v>
      </c>
      <c r="G56" s="105">
        <v>0.25</v>
      </c>
      <c r="H56" s="102">
        <f>'Cam Gas'!I39</f>
        <v>3229.793774162204</v>
      </c>
      <c r="I56" s="102">
        <f>'Cam Gas'!I40</f>
        <v>2050.4888397681948</v>
      </c>
      <c r="J56" s="104">
        <f>'Cam Gas'!I41</f>
        <v>0.2172915530350874</v>
      </c>
    </row>
    <row r="57" spans="1:10">
      <c r="A57" s="100"/>
      <c r="B57" s="87" t="s">
        <v>430</v>
      </c>
      <c r="C57" s="102">
        <f>'Cam Gas'!I44</f>
        <v>3720</v>
      </c>
      <c r="D57" s="102">
        <f>'Cam Gas'!I45</f>
        <v>400</v>
      </c>
      <c r="E57" s="102">
        <f t="shared" si="2"/>
        <v>4120</v>
      </c>
      <c r="F57" s="103">
        <v>10</v>
      </c>
      <c r="G57" s="105">
        <v>0.25</v>
      </c>
      <c r="H57" s="102">
        <f>'Cam Gas'!I60</f>
        <v>6956.4484196476733</v>
      </c>
      <c r="I57" s="102">
        <f>'Cam Gas'!I61</f>
        <v>5598.6523131084778</v>
      </c>
      <c r="J57" s="104">
        <f>'Cam Gas'!I62</f>
        <v>0.47835309980839491</v>
      </c>
    </row>
    <row r="58" spans="1:10">
      <c r="A58" s="101" t="s">
        <v>414</v>
      </c>
      <c r="B58" s="87" t="s">
        <v>432</v>
      </c>
      <c r="C58" s="102">
        <f>SUM('Cam Oil'!I23:I24)</f>
        <v>8100</v>
      </c>
      <c r="D58" s="102">
        <f>'Cam Oil'!I25</f>
        <v>700</v>
      </c>
      <c r="E58" s="102">
        <f t="shared" si="2"/>
        <v>8800</v>
      </c>
      <c r="F58" s="103">
        <v>50</v>
      </c>
      <c r="G58" s="103">
        <v>10</v>
      </c>
      <c r="H58" s="102">
        <f>'Cam Oil'!I40</f>
        <v>26929.773713752766</v>
      </c>
      <c r="I58" s="102">
        <f>'Cam Oil'!I41</f>
        <v>22403.74516224382</v>
      </c>
      <c r="J58" s="104">
        <f>'Cam Oil'!I42</f>
        <v>0.74625552179260524</v>
      </c>
    </row>
    <row r="59" spans="1:10">
      <c r="A59" s="100"/>
      <c r="B59" s="87" t="s">
        <v>433</v>
      </c>
      <c r="C59" s="102">
        <f>SUM('Cam Oil'!I45:I46)</f>
        <v>9150</v>
      </c>
      <c r="D59" s="102">
        <f>'Cam Oil'!I47</f>
        <v>700</v>
      </c>
      <c r="E59" s="102">
        <f t="shared" si="2"/>
        <v>9850</v>
      </c>
      <c r="F59" s="103">
        <v>50</v>
      </c>
      <c r="G59" s="103">
        <v>10</v>
      </c>
      <c r="H59" s="102">
        <f>'Cam Oil'!I62</f>
        <v>49167.820172241132</v>
      </c>
      <c r="I59" s="102">
        <f>'Cam Oil'!I63</f>
        <v>41100.75852996757</v>
      </c>
      <c r="J59" s="104">
        <f>'Cam Oil'!I64</f>
        <v>1.0606725216927471</v>
      </c>
    </row>
  </sheetData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1" workbookViewId="0">
      <selection activeCell="A23" sqref="A23"/>
    </sheetView>
    <sheetView tabSelected="1" topLeftCell="A21" zoomScale="98" zoomScaleNormal="98" workbookViewId="1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20" workbookViewId="0">
      <selection activeCell="A30" sqref="A30:O55"/>
    </sheetView>
    <sheetView workbookViewId="1"/>
  </sheetViews>
  <sheetFormatPr defaultRowHeight="15"/>
  <cols>
    <col min="1" max="1" width="9.7109375" style="46" customWidth="1"/>
    <col min="2" max="2" width="8.7109375" style="46" customWidth="1"/>
    <col min="3" max="3" width="9.140625" style="46"/>
    <col min="4" max="4" width="9.42578125" style="46" customWidth="1"/>
    <col min="5" max="5" width="8.7109375" style="46" customWidth="1"/>
    <col min="6" max="6" width="9.28515625" style="46" customWidth="1"/>
    <col min="7" max="7" width="10.28515625" style="46" customWidth="1"/>
    <col min="8" max="8" width="8.85546875" style="46" customWidth="1"/>
    <col min="9" max="9" width="10.85546875" style="46" customWidth="1"/>
    <col min="10" max="10" width="9.140625" style="46" customWidth="1"/>
    <col min="11" max="11" width="11.42578125" style="46" customWidth="1"/>
    <col min="12" max="12" width="8.28515625" style="46" customWidth="1"/>
    <col min="13" max="13" width="10.5703125" style="46" customWidth="1"/>
    <col min="14" max="14" width="8.85546875" style="46" customWidth="1"/>
    <col min="15" max="256" width="9.140625" style="46"/>
    <col min="257" max="257" width="13.28515625" style="46" customWidth="1"/>
    <col min="258" max="260" width="9.140625" style="46"/>
    <col min="261" max="265" width="12.7109375" style="46" customWidth="1"/>
    <col min="266" max="512" width="9.140625" style="46"/>
    <col min="513" max="513" width="13.28515625" style="46" customWidth="1"/>
    <col min="514" max="516" width="9.140625" style="46"/>
    <col min="517" max="521" width="12.7109375" style="46" customWidth="1"/>
    <col min="522" max="768" width="9.140625" style="46"/>
    <col min="769" max="769" width="13.28515625" style="46" customWidth="1"/>
    <col min="770" max="772" width="9.140625" style="46"/>
    <col min="773" max="777" width="12.7109375" style="46" customWidth="1"/>
    <col min="778" max="1024" width="9.140625" style="46"/>
    <col min="1025" max="1025" width="13.28515625" style="46" customWidth="1"/>
    <col min="1026" max="1028" width="9.140625" style="46"/>
    <col min="1029" max="1033" width="12.7109375" style="46" customWidth="1"/>
    <col min="1034" max="1280" width="9.140625" style="46"/>
    <col min="1281" max="1281" width="13.28515625" style="46" customWidth="1"/>
    <col min="1282" max="1284" width="9.140625" style="46"/>
    <col min="1285" max="1289" width="12.7109375" style="46" customWidth="1"/>
    <col min="1290" max="1536" width="9.140625" style="46"/>
    <col min="1537" max="1537" width="13.28515625" style="46" customWidth="1"/>
    <col min="1538" max="1540" width="9.140625" style="46"/>
    <col min="1541" max="1545" width="12.7109375" style="46" customWidth="1"/>
    <col min="1546" max="1792" width="9.140625" style="46"/>
    <col min="1793" max="1793" width="13.28515625" style="46" customWidth="1"/>
    <col min="1794" max="1796" width="9.140625" style="46"/>
    <col min="1797" max="1801" width="12.7109375" style="46" customWidth="1"/>
    <col min="1802" max="2048" width="9.140625" style="46"/>
    <col min="2049" max="2049" width="13.28515625" style="46" customWidth="1"/>
    <col min="2050" max="2052" width="9.140625" style="46"/>
    <col min="2053" max="2057" width="12.7109375" style="46" customWidth="1"/>
    <col min="2058" max="2304" width="9.140625" style="46"/>
    <col min="2305" max="2305" width="13.28515625" style="46" customWidth="1"/>
    <col min="2306" max="2308" width="9.140625" style="46"/>
    <col min="2309" max="2313" width="12.7109375" style="46" customWidth="1"/>
    <col min="2314" max="2560" width="9.140625" style="46"/>
    <col min="2561" max="2561" width="13.28515625" style="46" customWidth="1"/>
    <col min="2562" max="2564" width="9.140625" style="46"/>
    <col min="2565" max="2569" width="12.7109375" style="46" customWidth="1"/>
    <col min="2570" max="2816" width="9.140625" style="46"/>
    <col min="2817" max="2817" width="13.28515625" style="46" customWidth="1"/>
    <col min="2818" max="2820" width="9.140625" style="46"/>
    <col min="2821" max="2825" width="12.7109375" style="46" customWidth="1"/>
    <col min="2826" max="3072" width="9.140625" style="46"/>
    <col min="3073" max="3073" width="13.28515625" style="46" customWidth="1"/>
    <col min="3074" max="3076" width="9.140625" style="46"/>
    <col min="3077" max="3081" width="12.7109375" style="46" customWidth="1"/>
    <col min="3082" max="3328" width="9.140625" style="46"/>
    <col min="3329" max="3329" width="13.28515625" style="46" customWidth="1"/>
    <col min="3330" max="3332" width="9.140625" style="46"/>
    <col min="3333" max="3337" width="12.7109375" style="46" customWidth="1"/>
    <col min="3338" max="3584" width="9.140625" style="46"/>
    <col min="3585" max="3585" width="13.28515625" style="46" customWidth="1"/>
    <col min="3586" max="3588" width="9.140625" style="46"/>
    <col min="3589" max="3593" width="12.7109375" style="46" customWidth="1"/>
    <col min="3594" max="3840" width="9.140625" style="46"/>
    <col min="3841" max="3841" width="13.28515625" style="46" customWidth="1"/>
    <col min="3842" max="3844" width="9.140625" style="46"/>
    <col min="3845" max="3849" width="12.7109375" style="46" customWidth="1"/>
    <col min="3850" max="4096" width="9.140625" style="46"/>
    <col min="4097" max="4097" width="13.28515625" style="46" customWidth="1"/>
    <col min="4098" max="4100" width="9.140625" style="46"/>
    <col min="4101" max="4105" width="12.7109375" style="46" customWidth="1"/>
    <col min="4106" max="4352" width="9.140625" style="46"/>
    <col min="4353" max="4353" width="13.28515625" style="46" customWidth="1"/>
    <col min="4354" max="4356" width="9.140625" style="46"/>
    <col min="4357" max="4361" width="12.7109375" style="46" customWidth="1"/>
    <col min="4362" max="4608" width="9.140625" style="46"/>
    <col min="4609" max="4609" width="13.28515625" style="46" customWidth="1"/>
    <col min="4610" max="4612" width="9.140625" style="46"/>
    <col min="4613" max="4617" width="12.7109375" style="46" customWidth="1"/>
    <col min="4618" max="4864" width="9.140625" style="46"/>
    <col min="4865" max="4865" width="13.28515625" style="46" customWidth="1"/>
    <col min="4866" max="4868" width="9.140625" style="46"/>
    <col min="4869" max="4873" width="12.7109375" style="46" customWidth="1"/>
    <col min="4874" max="5120" width="9.140625" style="46"/>
    <col min="5121" max="5121" width="13.28515625" style="46" customWidth="1"/>
    <col min="5122" max="5124" width="9.140625" style="46"/>
    <col min="5125" max="5129" width="12.7109375" style="46" customWidth="1"/>
    <col min="5130" max="5376" width="9.140625" style="46"/>
    <col min="5377" max="5377" width="13.28515625" style="46" customWidth="1"/>
    <col min="5378" max="5380" width="9.140625" style="46"/>
    <col min="5381" max="5385" width="12.7109375" style="46" customWidth="1"/>
    <col min="5386" max="5632" width="9.140625" style="46"/>
    <col min="5633" max="5633" width="13.28515625" style="46" customWidth="1"/>
    <col min="5634" max="5636" width="9.140625" style="46"/>
    <col min="5637" max="5641" width="12.7109375" style="46" customWidth="1"/>
    <col min="5642" max="5888" width="9.140625" style="46"/>
    <col min="5889" max="5889" width="13.28515625" style="46" customWidth="1"/>
    <col min="5890" max="5892" width="9.140625" style="46"/>
    <col min="5893" max="5897" width="12.7109375" style="46" customWidth="1"/>
    <col min="5898" max="6144" width="9.140625" style="46"/>
    <col min="6145" max="6145" width="13.28515625" style="46" customWidth="1"/>
    <col min="6146" max="6148" width="9.140625" style="46"/>
    <col min="6149" max="6153" width="12.7109375" style="46" customWidth="1"/>
    <col min="6154" max="6400" width="9.140625" style="46"/>
    <col min="6401" max="6401" width="13.28515625" style="46" customWidth="1"/>
    <col min="6402" max="6404" width="9.140625" style="46"/>
    <col min="6405" max="6409" width="12.7109375" style="46" customWidth="1"/>
    <col min="6410" max="6656" width="9.140625" style="46"/>
    <col min="6657" max="6657" width="13.28515625" style="46" customWidth="1"/>
    <col min="6658" max="6660" width="9.140625" style="46"/>
    <col min="6661" max="6665" width="12.7109375" style="46" customWidth="1"/>
    <col min="6666" max="6912" width="9.140625" style="46"/>
    <col min="6913" max="6913" width="13.28515625" style="46" customWidth="1"/>
    <col min="6914" max="6916" width="9.140625" style="46"/>
    <col min="6917" max="6921" width="12.7109375" style="46" customWidth="1"/>
    <col min="6922" max="7168" width="9.140625" style="46"/>
    <col min="7169" max="7169" width="13.28515625" style="46" customWidth="1"/>
    <col min="7170" max="7172" width="9.140625" style="46"/>
    <col min="7173" max="7177" width="12.7109375" style="46" customWidth="1"/>
    <col min="7178" max="7424" width="9.140625" style="46"/>
    <col min="7425" max="7425" width="13.28515625" style="46" customWidth="1"/>
    <col min="7426" max="7428" width="9.140625" style="46"/>
    <col min="7429" max="7433" width="12.7109375" style="46" customWidth="1"/>
    <col min="7434" max="7680" width="9.140625" style="46"/>
    <col min="7681" max="7681" width="13.28515625" style="46" customWidth="1"/>
    <col min="7682" max="7684" width="9.140625" style="46"/>
    <col min="7685" max="7689" width="12.7109375" style="46" customWidth="1"/>
    <col min="7690" max="7936" width="9.140625" style="46"/>
    <col min="7937" max="7937" width="13.28515625" style="46" customWidth="1"/>
    <col min="7938" max="7940" width="9.140625" style="46"/>
    <col min="7941" max="7945" width="12.7109375" style="46" customWidth="1"/>
    <col min="7946" max="8192" width="9.140625" style="46"/>
    <col min="8193" max="8193" width="13.28515625" style="46" customWidth="1"/>
    <col min="8194" max="8196" width="9.140625" style="46"/>
    <col min="8197" max="8201" width="12.7109375" style="46" customWidth="1"/>
    <col min="8202" max="8448" width="9.140625" style="46"/>
    <col min="8449" max="8449" width="13.28515625" style="46" customWidth="1"/>
    <col min="8450" max="8452" width="9.140625" style="46"/>
    <col min="8453" max="8457" width="12.7109375" style="46" customWidth="1"/>
    <col min="8458" max="8704" width="9.140625" style="46"/>
    <col min="8705" max="8705" width="13.28515625" style="46" customWidth="1"/>
    <col min="8706" max="8708" width="9.140625" style="46"/>
    <col min="8709" max="8713" width="12.7109375" style="46" customWidth="1"/>
    <col min="8714" max="8960" width="9.140625" style="46"/>
    <col min="8961" max="8961" width="13.28515625" style="46" customWidth="1"/>
    <col min="8962" max="8964" width="9.140625" style="46"/>
    <col min="8965" max="8969" width="12.7109375" style="46" customWidth="1"/>
    <col min="8970" max="9216" width="9.140625" style="46"/>
    <col min="9217" max="9217" width="13.28515625" style="46" customWidth="1"/>
    <col min="9218" max="9220" width="9.140625" style="46"/>
    <col min="9221" max="9225" width="12.7109375" style="46" customWidth="1"/>
    <col min="9226" max="9472" width="9.140625" style="46"/>
    <col min="9473" max="9473" width="13.28515625" style="46" customWidth="1"/>
    <col min="9474" max="9476" width="9.140625" style="46"/>
    <col min="9477" max="9481" width="12.7109375" style="46" customWidth="1"/>
    <col min="9482" max="9728" width="9.140625" style="46"/>
    <col min="9729" max="9729" width="13.28515625" style="46" customWidth="1"/>
    <col min="9730" max="9732" width="9.140625" style="46"/>
    <col min="9733" max="9737" width="12.7109375" style="46" customWidth="1"/>
    <col min="9738" max="9984" width="9.140625" style="46"/>
    <col min="9985" max="9985" width="13.28515625" style="46" customWidth="1"/>
    <col min="9986" max="9988" width="9.140625" style="46"/>
    <col min="9989" max="9993" width="12.7109375" style="46" customWidth="1"/>
    <col min="9994" max="10240" width="9.140625" style="46"/>
    <col min="10241" max="10241" width="13.28515625" style="46" customWidth="1"/>
    <col min="10242" max="10244" width="9.140625" style="46"/>
    <col min="10245" max="10249" width="12.7109375" style="46" customWidth="1"/>
    <col min="10250" max="10496" width="9.140625" style="46"/>
    <col min="10497" max="10497" width="13.28515625" style="46" customWidth="1"/>
    <col min="10498" max="10500" width="9.140625" style="46"/>
    <col min="10501" max="10505" width="12.7109375" style="46" customWidth="1"/>
    <col min="10506" max="10752" width="9.140625" style="46"/>
    <col min="10753" max="10753" width="13.28515625" style="46" customWidth="1"/>
    <col min="10754" max="10756" width="9.140625" style="46"/>
    <col min="10757" max="10761" width="12.7109375" style="46" customWidth="1"/>
    <col min="10762" max="11008" width="9.140625" style="46"/>
    <col min="11009" max="11009" width="13.28515625" style="46" customWidth="1"/>
    <col min="11010" max="11012" width="9.140625" style="46"/>
    <col min="11013" max="11017" width="12.7109375" style="46" customWidth="1"/>
    <col min="11018" max="11264" width="9.140625" style="46"/>
    <col min="11265" max="11265" width="13.28515625" style="46" customWidth="1"/>
    <col min="11266" max="11268" width="9.140625" style="46"/>
    <col min="11269" max="11273" width="12.7109375" style="46" customWidth="1"/>
    <col min="11274" max="11520" width="9.140625" style="46"/>
    <col min="11521" max="11521" width="13.28515625" style="46" customWidth="1"/>
    <col min="11522" max="11524" width="9.140625" style="46"/>
    <col min="11525" max="11529" width="12.7109375" style="46" customWidth="1"/>
    <col min="11530" max="11776" width="9.140625" style="46"/>
    <col min="11777" max="11777" width="13.28515625" style="46" customWidth="1"/>
    <col min="11778" max="11780" width="9.140625" style="46"/>
    <col min="11781" max="11785" width="12.7109375" style="46" customWidth="1"/>
    <col min="11786" max="12032" width="9.140625" style="46"/>
    <col min="12033" max="12033" width="13.28515625" style="46" customWidth="1"/>
    <col min="12034" max="12036" width="9.140625" style="46"/>
    <col min="12037" max="12041" width="12.7109375" style="46" customWidth="1"/>
    <col min="12042" max="12288" width="9.140625" style="46"/>
    <col min="12289" max="12289" width="13.28515625" style="46" customWidth="1"/>
    <col min="12290" max="12292" width="9.140625" style="46"/>
    <col min="12293" max="12297" width="12.7109375" style="46" customWidth="1"/>
    <col min="12298" max="12544" width="9.140625" style="46"/>
    <col min="12545" max="12545" width="13.28515625" style="46" customWidth="1"/>
    <col min="12546" max="12548" width="9.140625" style="46"/>
    <col min="12549" max="12553" width="12.7109375" style="46" customWidth="1"/>
    <col min="12554" max="12800" width="9.140625" style="46"/>
    <col min="12801" max="12801" width="13.28515625" style="46" customWidth="1"/>
    <col min="12802" max="12804" width="9.140625" style="46"/>
    <col min="12805" max="12809" width="12.7109375" style="46" customWidth="1"/>
    <col min="12810" max="13056" width="9.140625" style="46"/>
    <col min="13057" max="13057" width="13.28515625" style="46" customWidth="1"/>
    <col min="13058" max="13060" width="9.140625" style="46"/>
    <col min="13061" max="13065" width="12.7109375" style="46" customWidth="1"/>
    <col min="13066" max="13312" width="9.140625" style="46"/>
    <col min="13313" max="13313" width="13.28515625" style="46" customWidth="1"/>
    <col min="13314" max="13316" width="9.140625" style="46"/>
    <col min="13317" max="13321" width="12.7109375" style="46" customWidth="1"/>
    <col min="13322" max="13568" width="9.140625" style="46"/>
    <col min="13569" max="13569" width="13.28515625" style="46" customWidth="1"/>
    <col min="13570" max="13572" width="9.140625" style="46"/>
    <col min="13573" max="13577" width="12.7109375" style="46" customWidth="1"/>
    <col min="13578" max="13824" width="9.140625" style="46"/>
    <col min="13825" max="13825" width="13.28515625" style="46" customWidth="1"/>
    <col min="13826" max="13828" width="9.140625" style="46"/>
    <col min="13829" max="13833" width="12.7109375" style="46" customWidth="1"/>
    <col min="13834" max="14080" width="9.140625" style="46"/>
    <col min="14081" max="14081" width="13.28515625" style="46" customWidth="1"/>
    <col min="14082" max="14084" width="9.140625" style="46"/>
    <col min="14085" max="14089" width="12.7109375" style="46" customWidth="1"/>
    <col min="14090" max="14336" width="9.140625" style="46"/>
    <col min="14337" max="14337" width="13.28515625" style="46" customWidth="1"/>
    <col min="14338" max="14340" width="9.140625" style="46"/>
    <col min="14341" max="14345" width="12.7109375" style="46" customWidth="1"/>
    <col min="14346" max="14592" width="9.140625" style="46"/>
    <col min="14593" max="14593" width="13.28515625" style="46" customWidth="1"/>
    <col min="14594" max="14596" width="9.140625" style="46"/>
    <col min="14597" max="14601" width="12.7109375" style="46" customWidth="1"/>
    <col min="14602" max="14848" width="9.140625" style="46"/>
    <col min="14849" max="14849" width="13.28515625" style="46" customWidth="1"/>
    <col min="14850" max="14852" width="9.140625" style="46"/>
    <col min="14853" max="14857" width="12.7109375" style="46" customWidth="1"/>
    <col min="14858" max="15104" width="9.140625" style="46"/>
    <col min="15105" max="15105" width="13.28515625" style="46" customWidth="1"/>
    <col min="15106" max="15108" width="9.140625" style="46"/>
    <col min="15109" max="15113" width="12.7109375" style="46" customWidth="1"/>
    <col min="15114" max="15360" width="9.140625" style="46"/>
    <col min="15361" max="15361" width="13.28515625" style="46" customWidth="1"/>
    <col min="15362" max="15364" width="9.140625" style="46"/>
    <col min="15365" max="15369" width="12.7109375" style="46" customWidth="1"/>
    <col min="15370" max="15616" width="9.140625" style="46"/>
    <col min="15617" max="15617" width="13.28515625" style="46" customWidth="1"/>
    <col min="15618" max="15620" width="9.140625" style="46"/>
    <col min="15621" max="15625" width="12.7109375" style="46" customWidth="1"/>
    <col min="15626" max="15872" width="9.140625" style="46"/>
    <col min="15873" max="15873" width="13.28515625" style="46" customWidth="1"/>
    <col min="15874" max="15876" width="9.140625" style="46"/>
    <col min="15877" max="15881" width="12.7109375" style="46" customWidth="1"/>
    <col min="15882" max="16128" width="9.140625" style="46"/>
    <col min="16129" max="16129" width="13.28515625" style="46" customWidth="1"/>
    <col min="16130" max="16132" width="9.140625" style="46"/>
    <col min="16133" max="16137" width="12.7109375" style="46" customWidth="1"/>
    <col min="16138" max="16384" width="9.140625" style="46"/>
  </cols>
  <sheetData>
    <row r="1" spans="1:9">
      <c r="A1" s="46" t="s">
        <v>217</v>
      </c>
    </row>
    <row r="3" spans="1:9">
      <c r="B3" s="47" t="s">
        <v>218</v>
      </c>
      <c r="C3" s="48"/>
      <c r="D3" s="48"/>
      <c r="F3" s="49"/>
      <c r="G3" s="54"/>
      <c r="H3" s="55"/>
      <c r="I3" s="55"/>
    </row>
    <row r="4" spans="1:9">
      <c r="A4" s="50" t="s">
        <v>143</v>
      </c>
      <c r="B4" s="57" t="s">
        <v>219</v>
      </c>
      <c r="C4" s="112" t="s">
        <v>219</v>
      </c>
      <c r="D4" s="117"/>
      <c r="E4" s="118"/>
      <c r="F4" s="119"/>
      <c r="G4" s="56"/>
      <c r="H4" s="53"/>
      <c r="I4" s="53"/>
    </row>
    <row r="5" spans="1:9">
      <c r="A5" s="50"/>
      <c r="B5" s="57" t="s">
        <v>220</v>
      </c>
      <c r="C5" s="112" t="s">
        <v>221</v>
      </c>
      <c r="D5" s="112" t="s">
        <v>222</v>
      </c>
      <c r="E5" s="58" t="s">
        <v>236</v>
      </c>
      <c r="F5" s="113" t="s">
        <v>523</v>
      </c>
      <c r="G5" s="51"/>
      <c r="H5" s="53"/>
      <c r="I5" s="53"/>
    </row>
    <row r="6" spans="1:9">
      <c r="A6" s="50"/>
      <c r="B6" s="57" t="s">
        <v>223</v>
      </c>
      <c r="C6" s="112"/>
      <c r="D6" s="112" t="s">
        <v>220</v>
      </c>
      <c r="E6" s="58" t="s">
        <v>152</v>
      </c>
      <c r="F6" s="113" t="s">
        <v>152</v>
      </c>
      <c r="G6" s="51"/>
      <c r="H6" s="52"/>
      <c r="I6" s="52"/>
    </row>
    <row r="7" spans="1:9">
      <c r="A7" s="50"/>
      <c r="B7" s="121" t="s">
        <v>224</v>
      </c>
      <c r="C7" s="122" t="s">
        <v>225</v>
      </c>
      <c r="D7" s="120" t="s">
        <v>226</v>
      </c>
      <c r="E7" s="120" t="s">
        <v>226</v>
      </c>
      <c r="F7" s="123" t="s">
        <v>227</v>
      </c>
      <c r="G7" s="57"/>
      <c r="H7" s="58"/>
      <c r="I7" s="58"/>
    </row>
    <row r="8" spans="1:9" ht="15.75">
      <c r="A8" s="138" t="s">
        <v>516</v>
      </c>
      <c r="B8" s="139">
        <v>4.0241666666666669</v>
      </c>
      <c r="C8" s="140">
        <v>1.0119359704968944</v>
      </c>
      <c r="D8" s="114">
        <f t="shared" ref="D8:D13" si="0">E8-B8/C8</f>
        <v>-0.71253225020974309</v>
      </c>
      <c r="E8" s="114">
        <f t="shared" ref="E8:E13" si="1">F8/0.02832784/39*1.054615</f>
        <v>3.2641686320512822</v>
      </c>
      <c r="F8" s="115">
        <v>3.4194535663999996</v>
      </c>
      <c r="G8" s="59"/>
      <c r="H8" s="60"/>
      <c r="I8" s="61"/>
    </row>
    <row r="9" spans="1:9" ht="15.75">
      <c r="A9" s="138" t="s">
        <v>517</v>
      </c>
      <c r="B9" s="142">
        <v>2.7897222222222222</v>
      </c>
      <c r="C9" s="143">
        <v>1.0006079337231968</v>
      </c>
      <c r="D9" s="114">
        <f t="shared" si="0"/>
        <v>0.35229168666330457</v>
      </c>
      <c r="E9" s="114">
        <f t="shared" si="1"/>
        <v>3.1403189730769232</v>
      </c>
      <c r="F9" s="115">
        <v>3.2897120591999998</v>
      </c>
      <c r="G9" s="59"/>
      <c r="H9" s="60"/>
      <c r="I9" s="61"/>
    </row>
    <row r="10" spans="1:9" ht="15.75">
      <c r="A10" s="138" t="s">
        <v>518</v>
      </c>
      <c r="B10" s="142">
        <v>3.7174675201811076</v>
      </c>
      <c r="C10" s="143">
        <v>0.97109790362764625</v>
      </c>
      <c r="D10" s="114">
        <f t="shared" si="0"/>
        <v>-8.8551238189267689E-2</v>
      </c>
      <c r="E10" s="114">
        <f t="shared" si="1"/>
        <v>3.7395566243589742</v>
      </c>
      <c r="F10" s="115">
        <v>3.9174569935999997</v>
      </c>
      <c r="G10" s="59"/>
      <c r="H10" s="60"/>
      <c r="I10" s="61"/>
    </row>
    <row r="11" spans="1:9" ht="15.75">
      <c r="A11" s="138" t="s">
        <v>519</v>
      </c>
      <c r="B11" s="142">
        <v>4.3029089807990548</v>
      </c>
      <c r="C11" s="143">
        <v>0.90564142414124194</v>
      </c>
      <c r="D11" s="114">
        <f t="shared" si="0"/>
        <v>0.52076524591387852</v>
      </c>
      <c r="E11" s="114">
        <f t="shared" si="1"/>
        <v>5.2719933435897444</v>
      </c>
      <c r="F11" s="115">
        <v>5.5227956864000003</v>
      </c>
      <c r="G11" s="59"/>
      <c r="H11" s="60"/>
      <c r="I11" s="61"/>
    </row>
    <row r="12" spans="1:9" ht="15.75">
      <c r="A12" s="138" t="s">
        <v>520</v>
      </c>
      <c r="B12" s="142">
        <v>2.6199051217057794</v>
      </c>
      <c r="C12" s="143">
        <v>0.78217693898090646</v>
      </c>
      <c r="D12" s="114">
        <f t="shared" si="0"/>
        <v>7.9887219299155543E-2</v>
      </c>
      <c r="E12" s="114">
        <f t="shared" si="1"/>
        <v>3.429391648717949</v>
      </c>
      <c r="F12" s="115">
        <v>3.5925366687999998</v>
      </c>
      <c r="G12" s="59"/>
      <c r="H12" s="60"/>
      <c r="I12" s="61"/>
    </row>
    <row r="13" spans="1:9" ht="15.75">
      <c r="A13" s="138" t="s">
        <v>521</v>
      </c>
      <c r="B13" s="142">
        <v>2.5170581172545989</v>
      </c>
      <c r="C13" s="143">
        <v>0.75688404124056297</v>
      </c>
      <c r="D13" s="114">
        <f t="shared" si="0"/>
        <v>4.6404699448547859E-2</v>
      </c>
      <c r="E13" s="114">
        <f t="shared" si="1"/>
        <v>3.3719578622937321</v>
      </c>
      <c r="F13" s="115">
        <v>3.5323706087834479</v>
      </c>
      <c r="G13" s="59"/>
      <c r="H13" s="60"/>
      <c r="I13" s="61"/>
    </row>
    <row r="14" spans="1:9" ht="15.75">
      <c r="A14" s="46">
        <v>2017</v>
      </c>
      <c r="B14" s="142">
        <v>3.4956499999999999</v>
      </c>
      <c r="C14" s="143">
        <v>0.75702831439393936</v>
      </c>
      <c r="D14" s="114">
        <f>AVERAGE(D8:D13)</f>
        <v>3.3044227154312621E-2</v>
      </c>
      <c r="E14" s="141">
        <f>B14/C14+D14</f>
        <v>4.6506390165890279</v>
      </c>
      <c r="F14" s="115">
        <f>E14/1.054615*39*0.02832784</f>
        <v>4.8718819288820665</v>
      </c>
      <c r="G14" s="62"/>
      <c r="H14" s="63"/>
      <c r="I14" s="61"/>
    </row>
    <row r="15" spans="1:9" ht="15.75">
      <c r="A15" s="46">
        <f>A14+1</f>
        <v>2018</v>
      </c>
      <c r="B15" s="142">
        <v>3.3499999999999996</v>
      </c>
      <c r="C15" s="143">
        <v>0.78625</v>
      </c>
      <c r="D15" s="114">
        <f t="shared" ref="D15:D28" si="2">D14</f>
        <v>3.3044227154312621E-2</v>
      </c>
      <c r="E15" s="141">
        <f t="shared" ref="E15:E28" si="3">B15/C15+D15</f>
        <v>4.2937755467091607</v>
      </c>
      <c r="F15" s="115">
        <f t="shared" ref="F15:F28" si="4">E15/1.054615*39*0.02832784</f>
        <v>4.4980415418332713</v>
      </c>
      <c r="G15" s="59"/>
      <c r="H15" s="63"/>
      <c r="I15" s="61"/>
    </row>
    <row r="16" spans="1:9" ht="15.75">
      <c r="A16" s="46">
        <f t="shared" ref="A16:A28" si="5">A15+1</f>
        <v>2019</v>
      </c>
      <c r="B16" s="142">
        <v>3.5</v>
      </c>
      <c r="C16" s="143">
        <v>0.8125</v>
      </c>
      <c r="D16" s="114">
        <f t="shared" si="2"/>
        <v>3.3044227154312621E-2</v>
      </c>
      <c r="E16" s="141">
        <f t="shared" si="3"/>
        <v>4.34073653484662</v>
      </c>
      <c r="F16" s="115">
        <f t="shared" si="4"/>
        <v>4.5472365854935584</v>
      </c>
      <c r="G16" s="59"/>
      <c r="H16" s="63"/>
      <c r="I16" s="61"/>
    </row>
    <row r="17" spans="1:15" ht="15.75">
      <c r="A17" s="46">
        <f t="shared" si="5"/>
        <v>2020</v>
      </c>
      <c r="B17" s="142">
        <v>3.7875000000000001</v>
      </c>
      <c r="C17" s="143">
        <v>0.83125000000000004</v>
      </c>
      <c r="D17" s="114">
        <f t="shared" si="2"/>
        <v>3.3044227154312621E-2</v>
      </c>
      <c r="E17" s="141">
        <f t="shared" si="3"/>
        <v>4.5894352045979216</v>
      </c>
      <c r="F17" s="115">
        <f t="shared" si="4"/>
        <v>4.8077664934430757</v>
      </c>
      <c r="G17" s="59"/>
      <c r="H17" s="63"/>
      <c r="I17" s="61"/>
    </row>
    <row r="18" spans="1:15" ht="15.75">
      <c r="A18" s="46">
        <f t="shared" si="5"/>
        <v>2021</v>
      </c>
      <c r="B18" s="142">
        <v>3.9950000000000001</v>
      </c>
      <c r="C18" s="143">
        <v>0.85</v>
      </c>
      <c r="D18" s="114">
        <f t="shared" si="2"/>
        <v>3.3044227154312621E-2</v>
      </c>
      <c r="E18" s="141">
        <f t="shared" si="3"/>
        <v>4.7330442271543127</v>
      </c>
      <c r="F18" s="115">
        <f t="shared" si="4"/>
        <v>4.9582073681962511</v>
      </c>
      <c r="G18" s="59"/>
      <c r="H18" s="63"/>
      <c r="I18" s="61"/>
    </row>
    <row r="19" spans="1:15" ht="15.75">
      <c r="A19" s="46">
        <f t="shared" si="5"/>
        <v>2022</v>
      </c>
      <c r="B19" s="142">
        <v>4.1154000000000002</v>
      </c>
      <c r="C19" s="143">
        <v>0.85</v>
      </c>
      <c r="D19" s="114">
        <f t="shared" si="2"/>
        <v>3.3044227154312621E-2</v>
      </c>
      <c r="E19" s="141">
        <f t="shared" si="3"/>
        <v>4.8746912859778426</v>
      </c>
      <c r="F19" s="115">
        <f t="shared" si="4"/>
        <v>5.106592943533335</v>
      </c>
      <c r="G19" s="59"/>
      <c r="H19" s="63"/>
      <c r="I19" s="61"/>
    </row>
    <row r="20" spans="1:15" ht="15.75">
      <c r="A20" s="46">
        <f t="shared" si="5"/>
        <v>2023</v>
      </c>
      <c r="B20" s="142">
        <v>4.2362079999999995</v>
      </c>
      <c r="C20" s="143">
        <v>0.85</v>
      </c>
      <c r="D20" s="114">
        <f t="shared" si="2"/>
        <v>3.3044227154312621E-2</v>
      </c>
      <c r="E20" s="141">
        <f t="shared" si="3"/>
        <v>5.0168183448013712</v>
      </c>
      <c r="F20" s="115">
        <f t="shared" si="4"/>
        <v>5.2554813537104295</v>
      </c>
      <c r="G20" s="59"/>
      <c r="H20" s="63"/>
      <c r="I20" s="61"/>
    </row>
    <row r="21" spans="1:15" ht="15.75">
      <c r="A21" s="46">
        <f t="shared" si="5"/>
        <v>2024</v>
      </c>
      <c r="B21" s="142">
        <v>4.3474321600000003</v>
      </c>
      <c r="C21" s="143">
        <v>0.85</v>
      </c>
      <c r="D21" s="114">
        <f t="shared" si="2"/>
        <v>3.3044227154312621E-2</v>
      </c>
      <c r="E21" s="141">
        <f t="shared" si="3"/>
        <v>5.1476702977425486</v>
      </c>
      <c r="F21" s="115">
        <f t="shared" si="4"/>
        <v>5.3925582720906942</v>
      </c>
      <c r="G21" s="59"/>
      <c r="H21" s="63"/>
      <c r="I21" s="61"/>
    </row>
    <row r="22" spans="1:15" ht="15.75">
      <c r="A22" s="46">
        <f t="shared" si="5"/>
        <v>2025</v>
      </c>
      <c r="B22" s="142">
        <v>4.4240808031999999</v>
      </c>
      <c r="C22" s="143">
        <v>0.85</v>
      </c>
      <c r="D22" s="114">
        <f t="shared" si="2"/>
        <v>3.3044227154312621E-2</v>
      </c>
      <c r="E22" s="141">
        <f t="shared" si="3"/>
        <v>5.2378451720954891</v>
      </c>
      <c r="F22" s="115">
        <f t="shared" si="4"/>
        <v>5.4870229981707492</v>
      </c>
      <c r="G22" s="59"/>
      <c r="H22" s="63"/>
      <c r="I22" s="61"/>
    </row>
    <row r="23" spans="1:15" ht="15.75">
      <c r="A23" s="46">
        <f t="shared" si="5"/>
        <v>2026</v>
      </c>
      <c r="B23" s="142">
        <v>4.5166124192639998</v>
      </c>
      <c r="C23" s="143">
        <v>0.85</v>
      </c>
      <c r="D23" s="114">
        <f t="shared" si="2"/>
        <v>3.3044227154312621E-2</v>
      </c>
      <c r="E23" s="141">
        <f t="shared" si="3"/>
        <v>5.3467058968766654</v>
      </c>
      <c r="F23" s="115">
        <f t="shared" si="4"/>
        <v>5.6010625088561881</v>
      </c>
      <c r="G23" s="59"/>
      <c r="H23" s="63"/>
      <c r="I23" s="61"/>
    </row>
    <row r="24" spans="1:15" ht="15.75">
      <c r="A24" s="46">
        <f t="shared" si="5"/>
        <v>2027</v>
      </c>
      <c r="B24" s="142">
        <v>4.6099446676492803</v>
      </c>
      <c r="C24" s="143">
        <v>0.85</v>
      </c>
      <c r="D24" s="114">
        <f t="shared" si="2"/>
        <v>3.3044227154312621E-2</v>
      </c>
      <c r="E24" s="141">
        <f t="shared" si="3"/>
        <v>5.4565085420358193</v>
      </c>
      <c r="F24" s="115">
        <f t="shared" si="4"/>
        <v>5.7160887495053023</v>
      </c>
      <c r="G24" s="59"/>
      <c r="H24" s="63"/>
      <c r="I24" s="61"/>
    </row>
    <row r="25" spans="1:15" ht="15.75">
      <c r="A25" s="46">
        <f t="shared" si="5"/>
        <v>2028</v>
      </c>
      <c r="B25" s="142">
        <v>4.7046435610022659</v>
      </c>
      <c r="C25" s="143">
        <v>0.85</v>
      </c>
      <c r="D25" s="114">
        <f t="shared" si="2"/>
        <v>3.3044227154312621E-2</v>
      </c>
      <c r="E25" s="141">
        <f t="shared" si="3"/>
        <v>5.567919004804037</v>
      </c>
      <c r="F25" s="115">
        <f t="shared" si="4"/>
        <v>5.832799295800716</v>
      </c>
      <c r="G25" s="59"/>
      <c r="H25" s="63"/>
      <c r="I25" s="61"/>
    </row>
    <row r="26" spans="1:15" ht="15.75">
      <c r="A26" s="46">
        <f t="shared" si="5"/>
        <v>2029</v>
      </c>
      <c r="B26" s="142">
        <v>4.7882364322223108</v>
      </c>
      <c r="C26" s="143">
        <v>0.85</v>
      </c>
      <c r="D26" s="114">
        <f t="shared" si="2"/>
        <v>3.3044227154312621E-2</v>
      </c>
      <c r="E26" s="141">
        <f t="shared" si="3"/>
        <v>5.6662635591805603</v>
      </c>
      <c r="F26" s="115">
        <f t="shared" si="4"/>
        <v>5.9358223546882991</v>
      </c>
      <c r="G26" s="59"/>
      <c r="H26" s="63"/>
      <c r="I26" s="61"/>
    </row>
    <row r="27" spans="1:15" ht="15.75">
      <c r="A27" s="46">
        <f t="shared" si="5"/>
        <v>2030</v>
      </c>
      <c r="B27" s="142">
        <v>4.8857511608667572</v>
      </c>
      <c r="C27" s="143">
        <v>0.85</v>
      </c>
      <c r="D27" s="114">
        <f t="shared" si="2"/>
        <v>3.3044227154312621E-2</v>
      </c>
      <c r="E27" s="141">
        <f t="shared" si="3"/>
        <v>5.7809867693504975</v>
      </c>
      <c r="F27" s="115">
        <f t="shared" si="4"/>
        <v>6.0560032443373499</v>
      </c>
      <c r="G27" s="59"/>
      <c r="H27" s="63"/>
      <c r="I27" s="61"/>
    </row>
    <row r="28" spans="1:15" ht="15.75">
      <c r="A28" s="46">
        <f t="shared" si="5"/>
        <v>2031</v>
      </c>
      <c r="B28" s="142">
        <v>4.9847161840840926</v>
      </c>
      <c r="C28" s="143">
        <v>0.85</v>
      </c>
      <c r="D28" s="114">
        <f t="shared" si="2"/>
        <v>3.3044227154312621E-2</v>
      </c>
      <c r="E28" s="141">
        <f t="shared" si="3"/>
        <v>5.8974162084297159</v>
      </c>
      <c r="F28" s="115">
        <f t="shared" si="4"/>
        <v>6.1779715326126983</v>
      </c>
      <c r="G28" s="59"/>
      <c r="H28" s="63"/>
      <c r="I28" s="61"/>
    </row>
    <row r="30" spans="1:15">
      <c r="B30" s="47" t="s">
        <v>228</v>
      </c>
      <c r="C30" s="48"/>
      <c r="D30" s="48"/>
      <c r="E30" s="48"/>
      <c r="F30" s="126"/>
      <c r="G30" s="48"/>
      <c r="H30" s="126"/>
      <c r="I30" s="48"/>
      <c r="J30" s="126"/>
      <c r="K30" s="48"/>
      <c r="L30" s="126"/>
      <c r="M30" s="48"/>
      <c r="N30" s="126"/>
      <c r="O30" s="133"/>
    </row>
    <row r="31" spans="1:15">
      <c r="B31" s="57" t="s">
        <v>219</v>
      </c>
      <c r="C31" s="112" t="s">
        <v>219</v>
      </c>
      <c r="D31" s="112" t="s">
        <v>219</v>
      </c>
      <c r="E31" s="112" t="s">
        <v>229</v>
      </c>
      <c r="F31" s="127" t="s">
        <v>229</v>
      </c>
      <c r="G31" s="116" t="s">
        <v>237</v>
      </c>
      <c r="H31" s="131" t="s">
        <v>229</v>
      </c>
      <c r="I31" s="132" t="s">
        <v>230</v>
      </c>
      <c r="J31" s="131" t="s">
        <v>229</v>
      </c>
      <c r="K31" s="132" t="s">
        <v>239</v>
      </c>
      <c r="L31" s="131" t="s">
        <v>229</v>
      </c>
      <c r="M31" s="132" t="s">
        <v>238</v>
      </c>
      <c r="N31" s="131" t="s">
        <v>229</v>
      </c>
      <c r="O31" s="134" t="s">
        <v>240</v>
      </c>
    </row>
    <row r="32" spans="1:15">
      <c r="A32" s="50" t="s">
        <v>143</v>
      </c>
      <c r="B32" s="57" t="s">
        <v>220</v>
      </c>
      <c r="C32" s="112" t="s">
        <v>221</v>
      </c>
      <c r="D32" s="112" t="s">
        <v>231</v>
      </c>
      <c r="E32" s="112" t="s">
        <v>232</v>
      </c>
      <c r="F32" s="127" t="s">
        <v>522</v>
      </c>
      <c r="G32" s="58" t="s">
        <v>146</v>
      </c>
      <c r="H32" s="127" t="s">
        <v>522</v>
      </c>
      <c r="I32" s="132" t="s">
        <v>146</v>
      </c>
      <c r="J32" s="127" t="s">
        <v>522</v>
      </c>
      <c r="K32" s="132" t="s">
        <v>146</v>
      </c>
      <c r="L32" s="127" t="s">
        <v>522</v>
      </c>
      <c r="M32" s="132" t="s">
        <v>146</v>
      </c>
      <c r="N32" s="127" t="s">
        <v>522</v>
      </c>
      <c r="O32" s="134" t="s">
        <v>146</v>
      </c>
    </row>
    <row r="33" spans="1:15">
      <c r="B33" s="57" t="s">
        <v>233</v>
      </c>
      <c r="C33" s="112"/>
      <c r="D33" s="112"/>
      <c r="E33" s="112"/>
      <c r="F33" s="127"/>
      <c r="G33" s="58" t="s">
        <v>152</v>
      </c>
      <c r="H33" s="131"/>
      <c r="I33" s="132" t="s">
        <v>152</v>
      </c>
      <c r="J33" s="131"/>
      <c r="K33" s="132" t="s">
        <v>152</v>
      </c>
      <c r="L33" s="131"/>
      <c r="M33" s="132" t="s">
        <v>152</v>
      </c>
      <c r="N33" s="131"/>
      <c r="O33" s="134" t="s">
        <v>152</v>
      </c>
    </row>
    <row r="34" spans="1:15">
      <c r="B34" s="110" t="s">
        <v>234</v>
      </c>
      <c r="C34" s="111" t="s">
        <v>225</v>
      </c>
      <c r="D34" s="111" t="s">
        <v>235</v>
      </c>
      <c r="E34" s="111" t="s">
        <v>234</v>
      </c>
      <c r="F34" s="128" t="s">
        <v>235</v>
      </c>
      <c r="G34" s="111" t="s">
        <v>235</v>
      </c>
      <c r="H34" s="128" t="s">
        <v>235</v>
      </c>
      <c r="I34" s="111" t="s">
        <v>235</v>
      </c>
      <c r="J34" s="128" t="s">
        <v>235</v>
      </c>
      <c r="K34" s="111" t="s">
        <v>235</v>
      </c>
      <c r="L34" s="128" t="s">
        <v>235</v>
      </c>
      <c r="M34" s="111" t="s">
        <v>235</v>
      </c>
      <c r="N34" s="128" t="s">
        <v>235</v>
      </c>
      <c r="O34" s="135" t="s">
        <v>235</v>
      </c>
    </row>
    <row r="35" spans="1:15" ht="15.75">
      <c r="A35" s="137" t="str">
        <f t="shared" ref="A35:A55" si="6">A8</f>
        <v>2011 Act</v>
      </c>
      <c r="B35" s="124">
        <v>95.072509147264284</v>
      </c>
      <c r="C35" s="125">
        <f>C8</f>
        <v>1.0119359704968944</v>
      </c>
      <c r="D35" s="124">
        <v>95.230839099994441</v>
      </c>
      <c r="E35" s="124">
        <f t="shared" ref="E35:E55" si="7">B35-D35*C35</f>
        <v>-1.2950024386221912</v>
      </c>
      <c r="F35" s="129">
        <f t="shared" ref="F35:F40" si="8">G35-D35</f>
        <v>-1.1089190750817437</v>
      </c>
      <c r="G35" s="130">
        <v>94.121920024912697</v>
      </c>
      <c r="H35" s="129">
        <f t="shared" ref="H35:H40" si="9">I35-D35</f>
        <v>1.4621669257301591</v>
      </c>
      <c r="I35" s="130">
        <v>96.6930060257246</v>
      </c>
      <c r="J35" s="129">
        <f t="shared" ref="J35:J40" si="10">K35-D35</f>
        <v>0.80105145637558905</v>
      </c>
      <c r="K35" s="130">
        <v>96.03189055637003</v>
      </c>
      <c r="L35" s="129">
        <f t="shared" ref="L35:L40" si="11">M35-D35</f>
        <v>0.74989130050161634</v>
      </c>
      <c r="M35" s="130">
        <v>95.980730400496057</v>
      </c>
      <c r="N35" s="129">
        <f>O35-D35</f>
        <v>8.0543000900675565E-2</v>
      </c>
      <c r="O35" s="136">
        <v>95.311382100895116</v>
      </c>
    </row>
    <row r="36" spans="1:15" ht="15.75">
      <c r="A36" s="137" t="str">
        <f t="shared" si="6"/>
        <v>2012 Act</v>
      </c>
      <c r="B36" s="124">
        <v>94.201138544236073</v>
      </c>
      <c r="C36" s="125">
        <f t="shared" ref="C36:C55" si="12">C9</f>
        <v>1.0006079337231968</v>
      </c>
      <c r="D36" s="124">
        <v>86.423516944426638</v>
      </c>
      <c r="E36" s="124">
        <f t="shared" si="7"/>
        <v>7.7250818293816508</v>
      </c>
      <c r="F36" s="129">
        <f t="shared" si="8"/>
        <v>-1.1640179377713054</v>
      </c>
      <c r="G36" s="130">
        <v>85.259499006655332</v>
      </c>
      <c r="H36" s="129">
        <f t="shared" si="9"/>
        <v>3.5283090568134838</v>
      </c>
      <c r="I36" s="130">
        <v>89.951826001240121</v>
      </c>
      <c r="J36" s="129">
        <f t="shared" si="10"/>
        <v>2.7844112731132782</v>
      </c>
      <c r="K36" s="130">
        <v>89.207928217539916</v>
      </c>
      <c r="L36" s="129">
        <f t="shared" si="11"/>
        <v>2.617295812938579</v>
      </c>
      <c r="M36" s="130">
        <v>89.040812757365217</v>
      </c>
      <c r="N36" s="129">
        <f t="shared" ref="N36:N40" si="13">O36-D36</f>
        <v>3.6888890526797411</v>
      </c>
      <c r="O36" s="136">
        <v>90.112405997106379</v>
      </c>
    </row>
    <row r="37" spans="1:15" ht="15.75">
      <c r="A37" s="137" t="str">
        <f t="shared" si="6"/>
        <v>2013 Act</v>
      </c>
      <c r="B37" s="124">
        <v>97.963639874570802</v>
      </c>
      <c r="C37" s="125">
        <f t="shared" si="12"/>
        <v>0.97109790362764625</v>
      </c>
      <c r="D37" s="124">
        <v>93.264081279720742</v>
      </c>
      <c r="E37" s="124">
        <f t="shared" si="7"/>
        <v>7.3950860600755846</v>
      </c>
      <c r="F37" s="129">
        <f t="shared" si="8"/>
        <v>0.30328096297324691</v>
      </c>
      <c r="G37" s="130">
        <v>93.567362242693989</v>
      </c>
      <c r="H37" s="129">
        <f t="shared" si="9"/>
        <v>6.0872391330175475</v>
      </c>
      <c r="I37" s="130">
        <v>99.351320412738289</v>
      </c>
      <c r="J37" s="129">
        <f t="shared" si="10"/>
        <v>11.668903215265104</v>
      </c>
      <c r="K37" s="130">
        <v>104.93298449498585</v>
      </c>
      <c r="L37" s="129">
        <f t="shared" si="11"/>
        <v>2.0393513164285082</v>
      </c>
      <c r="M37" s="130">
        <v>95.30343259614925</v>
      </c>
      <c r="N37" s="129">
        <f t="shared" si="13"/>
        <v>5.1523773749050719</v>
      </c>
      <c r="O37" s="136">
        <v>98.416458654625814</v>
      </c>
    </row>
    <row r="38" spans="1:15" ht="15.75">
      <c r="A38" s="137" t="str">
        <f t="shared" si="6"/>
        <v>2014 Act</v>
      </c>
      <c r="B38" s="124">
        <v>92.998837171706171</v>
      </c>
      <c r="C38" s="125">
        <f t="shared" si="12"/>
        <v>0.90564142414124194</v>
      </c>
      <c r="D38" s="124">
        <v>94.024860467559066</v>
      </c>
      <c r="E38" s="124">
        <f t="shared" si="7"/>
        <v>7.8460286331844173</v>
      </c>
      <c r="F38" s="129">
        <f t="shared" si="8"/>
        <v>1.3139085737461897</v>
      </c>
      <c r="G38" s="130">
        <v>95.338769041305255</v>
      </c>
      <c r="H38" s="129">
        <f t="shared" si="9"/>
        <v>6.1604950488266894</v>
      </c>
      <c r="I38" s="130">
        <v>100.18535551638575</v>
      </c>
      <c r="J38" s="129">
        <f t="shared" si="10"/>
        <v>9.0728249698384218</v>
      </c>
      <c r="K38" s="130">
        <v>103.09768543739749</v>
      </c>
      <c r="L38" s="129">
        <f t="shared" si="11"/>
        <v>-0.66428683129659305</v>
      </c>
      <c r="M38" s="130">
        <v>93.360573636262473</v>
      </c>
      <c r="N38" s="129">
        <f t="shared" si="13"/>
        <v>2.4550988309766382</v>
      </c>
      <c r="O38" s="136">
        <v>96.479959298535704</v>
      </c>
    </row>
    <row r="39" spans="1:15" ht="15.75">
      <c r="A39" s="137" t="str">
        <f t="shared" si="6"/>
        <v>2015 Act</v>
      </c>
      <c r="B39" s="124">
        <v>48.792143423584207</v>
      </c>
      <c r="C39" s="125">
        <f t="shared" si="12"/>
        <v>0.78217693898090646</v>
      </c>
      <c r="D39" s="124">
        <v>57.467663369385974</v>
      </c>
      <c r="E39" s="124">
        <f t="shared" si="7"/>
        <v>3.8422623989327178</v>
      </c>
      <c r="F39" s="129">
        <f t="shared" si="8"/>
        <v>-0.32081628598371026</v>
      </c>
      <c r="G39" s="130">
        <v>57.146847083402264</v>
      </c>
      <c r="H39" s="129">
        <f t="shared" si="9"/>
        <v>5.9760400373284455</v>
      </c>
      <c r="I39" s="130">
        <v>63.44370340671442</v>
      </c>
      <c r="J39" s="129">
        <f t="shared" si="10"/>
        <v>5.1695511690750351</v>
      </c>
      <c r="K39" s="130">
        <v>62.637214538461009</v>
      </c>
      <c r="L39" s="129">
        <f t="shared" si="11"/>
        <v>1.2171705654598881</v>
      </c>
      <c r="M39" s="130">
        <v>58.684833934845862</v>
      </c>
      <c r="N39" s="129">
        <f t="shared" si="13"/>
        <v>5.9980027196166859</v>
      </c>
      <c r="O39" s="136">
        <v>63.46566608900266</v>
      </c>
    </row>
    <row r="40" spans="1:15" ht="15.75">
      <c r="A40" s="137" t="str">
        <f t="shared" si="6"/>
        <v>2016 Act</v>
      </c>
      <c r="B40" s="124">
        <v>43.306170935408353</v>
      </c>
      <c r="C40" s="125">
        <f t="shared" si="12"/>
        <v>0.75688404124056297</v>
      </c>
      <c r="D40" s="124">
        <v>53.182512993997342</v>
      </c>
      <c r="E40" s="124">
        <f>B40-D40*C40</f>
        <v>3.0531755771828912</v>
      </c>
      <c r="F40" s="129">
        <f t="shared" si="8"/>
        <v>-0.45096825909312344</v>
      </c>
      <c r="G40" s="130">
        <v>52.731544734904219</v>
      </c>
      <c r="H40" s="129">
        <f t="shared" si="9"/>
        <v>6.7029085227915459</v>
      </c>
      <c r="I40" s="130">
        <v>59.885421516788888</v>
      </c>
      <c r="J40" s="129">
        <f t="shared" si="10"/>
        <v>5.8601471176182827</v>
      </c>
      <c r="K40" s="130">
        <v>59.042660111615625</v>
      </c>
      <c r="L40" s="129">
        <f t="shared" si="11"/>
        <v>1.6355964306472046</v>
      </c>
      <c r="M40" s="130">
        <v>54.818109424644547</v>
      </c>
      <c r="N40" s="129">
        <f t="shared" si="13"/>
        <v>5.7840916026761562</v>
      </c>
      <c r="O40" s="136">
        <v>58.966604596673498</v>
      </c>
    </row>
    <row r="41" spans="1:15" ht="15.75">
      <c r="A41" s="46">
        <f t="shared" si="6"/>
        <v>2017</v>
      </c>
      <c r="B41" s="124">
        <v>54.942291666666669</v>
      </c>
      <c r="C41" s="125">
        <f t="shared" si="12"/>
        <v>0.75702831439393936</v>
      </c>
      <c r="D41" s="124">
        <v>68.255440137454684</v>
      </c>
      <c r="E41" s="124">
        <f t="shared" si="7"/>
        <v>3.2709908711929145</v>
      </c>
      <c r="F41" s="129">
        <f>AVERAGE(F35:F40)</f>
        <v>-0.23792200353507434</v>
      </c>
      <c r="G41" s="130">
        <f>D41+F41</f>
        <v>68.017518133919609</v>
      </c>
      <c r="H41" s="129">
        <f>AVERAGE(H35:H40)</f>
        <v>4.9861931207513122</v>
      </c>
      <c r="I41" s="130">
        <f>D41+H41</f>
        <v>73.241633258205994</v>
      </c>
      <c r="J41" s="129">
        <f>AVERAGE(J35:J40)</f>
        <v>5.8928148668809515</v>
      </c>
      <c r="K41" s="130">
        <f>D41+J41</f>
        <v>74.148255004335638</v>
      </c>
      <c r="L41" s="129">
        <f>AVERAGE(L35:L40)</f>
        <v>1.2658364324465339</v>
      </c>
      <c r="M41" s="130">
        <f>D41+L41</f>
        <v>69.521276569901218</v>
      </c>
      <c r="N41" s="129">
        <f>AVERAGE(N35:N40)</f>
        <v>3.859833763625828</v>
      </c>
      <c r="O41" s="136">
        <f>D41+N41</f>
        <v>72.115273901080513</v>
      </c>
    </row>
    <row r="42" spans="1:15" ht="15.75">
      <c r="A42" s="46">
        <f t="shared" si="6"/>
        <v>2018</v>
      </c>
      <c r="B42" s="124">
        <v>60.674999999999997</v>
      </c>
      <c r="C42" s="125">
        <f t="shared" si="12"/>
        <v>0.78625</v>
      </c>
      <c r="D42" s="124">
        <v>72.947887490165229</v>
      </c>
      <c r="E42" s="124">
        <f t="shared" si="7"/>
        <v>3.3197234608575883</v>
      </c>
      <c r="F42" s="129">
        <f t="shared" ref="F42:H55" si="14">F41</f>
        <v>-0.23792200353507434</v>
      </c>
      <c r="G42" s="130">
        <f t="shared" ref="G42:G55" si="15">D42+F42</f>
        <v>72.709965486630153</v>
      </c>
      <c r="H42" s="129">
        <f t="shared" si="14"/>
        <v>4.9861931207513122</v>
      </c>
      <c r="I42" s="130">
        <f t="shared" ref="I42:I55" si="16">D42+H42</f>
        <v>77.934080610916538</v>
      </c>
      <c r="J42" s="129">
        <f t="shared" ref="J42:J55" si="17">J41</f>
        <v>5.8928148668809515</v>
      </c>
      <c r="K42" s="130">
        <f t="shared" ref="K42:K55" si="18">D42+J42</f>
        <v>78.840702357046183</v>
      </c>
      <c r="L42" s="129">
        <f t="shared" ref="L42:N55" si="19">L41</f>
        <v>1.2658364324465339</v>
      </c>
      <c r="M42" s="130">
        <f t="shared" ref="M42:M55" si="20">D42+L42</f>
        <v>74.213723922611763</v>
      </c>
      <c r="N42" s="129">
        <f t="shared" si="19"/>
        <v>3.859833763625828</v>
      </c>
      <c r="O42" s="136">
        <f t="shared" ref="O42:O55" si="21">D42+N42</f>
        <v>76.807721253791058</v>
      </c>
    </row>
    <row r="43" spans="1:15" ht="15.75">
      <c r="A43" s="46">
        <f t="shared" si="6"/>
        <v>2019</v>
      </c>
      <c r="B43" s="124">
        <v>65.349999999999994</v>
      </c>
      <c r="C43" s="125">
        <f t="shared" si="12"/>
        <v>0.8125</v>
      </c>
      <c r="D43" s="124">
        <v>76.195823529411769</v>
      </c>
      <c r="E43" s="124">
        <f t="shared" si="7"/>
        <v>3.4408933823529324</v>
      </c>
      <c r="F43" s="129">
        <f t="shared" si="14"/>
        <v>-0.23792200353507434</v>
      </c>
      <c r="G43" s="130">
        <f t="shared" si="15"/>
        <v>75.957901525876693</v>
      </c>
      <c r="H43" s="129">
        <f t="shared" si="14"/>
        <v>4.9861931207513122</v>
      </c>
      <c r="I43" s="130">
        <f t="shared" si="16"/>
        <v>81.182016650163078</v>
      </c>
      <c r="J43" s="129">
        <f t="shared" si="17"/>
        <v>5.8928148668809515</v>
      </c>
      <c r="K43" s="130">
        <f t="shared" si="18"/>
        <v>82.088638396292723</v>
      </c>
      <c r="L43" s="129">
        <f t="shared" si="19"/>
        <v>1.2658364324465339</v>
      </c>
      <c r="M43" s="130">
        <f t="shared" si="20"/>
        <v>77.461659961858302</v>
      </c>
      <c r="N43" s="129">
        <f t="shared" si="19"/>
        <v>3.859833763625828</v>
      </c>
      <c r="O43" s="136">
        <f t="shared" si="21"/>
        <v>80.055657293037598</v>
      </c>
    </row>
    <row r="44" spans="1:15" ht="15.75">
      <c r="A44" s="46">
        <f t="shared" si="6"/>
        <v>2020</v>
      </c>
      <c r="B44" s="124">
        <v>69.349999999999994</v>
      </c>
      <c r="C44" s="125">
        <f t="shared" si="12"/>
        <v>0.83125000000000004</v>
      </c>
      <c r="D44" s="124">
        <v>79.410611212121211</v>
      </c>
      <c r="E44" s="124">
        <f t="shared" si="7"/>
        <v>3.3399294299242399</v>
      </c>
      <c r="F44" s="129">
        <f t="shared" si="14"/>
        <v>-0.23792200353507434</v>
      </c>
      <c r="G44" s="130">
        <f t="shared" si="15"/>
        <v>79.172689208586135</v>
      </c>
      <c r="H44" s="129">
        <f t="shared" si="14"/>
        <v>4.9861931207513122</v>
      </c>
      <c r="I44" s="130">
        <f t="shared" si="16"/>
        <v>84.39680433287252</v>
      </c>
      <c r="J44" s="129">
        <f t="shared" si="17"/>
        <v>5.8928148668809515</v>
      </c>
      <c r="K44" s="130">
        <f t="shared" si="18"/>
        <v>85.303426079002165</v>
      </c>
      <c r="L44" s="129">
        <f t="shared" si="19"/>
        <v>1.2658364324465339</v>
      </c>
      <c r="M44" s="130">
        <f t="shared" si="20"/>
        <v>80.676447644567745</v>
      </c>
      <c r="N44" s="129">
        <f t="shared" si="19"/>
        <v>3.859833763625828</v>
      </c>
      <c r="O44" s="136">
        <f t="shared" si="21"/>
        <v>83.27044497574704</v>
      </c>
    </row>
    <row r="45" spans="1:15" ht="15.75">
      <c r="A45" s="46">
        <f t="shared" si="6"/>
        <v>2021</v>
      </c>
      <c r="B45" s="124">
        <v>73.656999999999996</v>
      </c>
      <c r="C45" s="125">
        <f t="shared" si="12"/>
        <v>0.85</v>
      </c>
      <c r="D45" s="124">
        <v>82.623983329411772</v>
      </c>
      <c r="E45" s="124">
        <f t="shared" si="7"/>
        <v>3.4266141699999935</v>
      </c>
      <c r="F45" s="129">
        <f t="shared" si="14"/>
        <v>-0.23792200353507434</v>
      </c>
      <c r="G45" s="130">
        <f t="shared" si="15"/>
        <v>82.386061325876696</v>
      </c>
      <c r="H45" s="129">
        <f t="shared" si="14"/>
        <v>4.9861931207513122</v>
      </c>
      <c r="I45" s="130">
        <f t="shared" si="16"/>
        <v>87.610176450163081</v>
      </c>
      <c r="J45" s="129">
        <f t="shared" si="17"/>
        <v>5.8928148668809515</v>
      </c>
      <c r="K45" s="130">
        <f t="shared" si="18"/>
        <v>88.516798196292726</v>
      </c>
      <c r="L45" s="129">
        <f t="shared" si="19"/>
        <v>1.2658364324465339</v>
      </c>
      <c r="M45" s="130">
        <f t="shared" si="20"/>
        <v>83.889819761858305</v>
      </c>
      <c r="N45" s="129">
        <f t="shared" si="19"/>
        <v>3.859833763625828</v>
      </c>
      <c r="O45" s="136">
        <f t="shared" si="21"/>
        <v>86.483817093037601</v>
      </c>
    </row>
    <row r="46" spans="1:15" ht="15.75">
      <c r="A46" s="46">
        <f t="shared" si="6"/>
        <v>2022</v>
      </c>
      <c r="B46" s="124">
        <v>76.396140000000003</v>
      </c>
      <c r="C46" s="125">
        <f t="shared" si="12"/>
        <v>0.85</v>
      </c>
      <c r="D46" s="124">
        <v>85.786274760705894</v>
      </c>
      <c r="E46" s="124">
        <f t="shared" si="7"/>
        <v>3.4778064533999924</v>
      </c>
      <c r="F46" s="129">
        <f t="shared" si="14"/>
        <v>-0.23792200353507434</v>
      </c>
      <c r="G46" s="130">
        <f t="shared" si="15"/>
        <v>85.548352757170818</v>
      </c>
      <c r="H46" s="129">
        <f t="shared" si="14"/>
        <v>4.9861931207513122</v>
      </c>
      <c r="I46" s="130">
        <f t="shared" si="16"/>
        <v>90.772467881457203</v>
      </c>
      <c r="J46" s="129">
        <f t="shared" si="17"/>
        <v>5.8928148668809515</v>
      </c>
      <c r="K46" s="130">
        <f t="shared" si="18"/>
        <v>91.679089627586848</v>
      </c>
      <c r="L46" s="129">
        <f t="shared" si="19"/>
        <v>1.2658364324465339</v>
      </c>
      <c r="M46" s="130">
        <f t="shared" si="20"/>
        <v>87.052111193152427</v>
      </c>
      <c r="N46" s="129">
        <f t="shared" si="19"/>
        <v>3.859833763625828</v>
      </c>
      <c r="O46" s="136">
        <f t="shared" si="21"/>
        <v>89.646108524331723</v>
      </c>
    </row>
    <row r="47" spans="1:15" ht="15.75">
      <c r="A47" s="46">
        <f t="shared" si="6"/>
        <v>2023</v>
      </c>
      <c r="B47" s="124">
        <v>78.292562799999999</v>
      </c>
      <c r="C47" s="125">
        <f t="shared" si="12"/>
        <v>0.85</v>
      </c>
      <c r="D47" s="124">
        <v>87.956250255919997</v>
      </c>
      <c r="E47" s="124">
        <f t="shared" si="7"/>
        <v>3.5297500824679986</v>
      </c>
      <c r="F47" s="129">
        <f t="shared" si="14"/>
        <v>-0.23792200353507434</v>
      </c>
      <c r="G47" s="130">
        <f t="shared" si="15"/>
        <v>87.718328252384921</v>
      </c>
      <c r="H47" s="129">
        <f t="shared" si="14"/>
        <v>4.9861931207513122</v>
      </c>
      <c r="I47" s="130">
        <f t="shared" si="16"/>
        <v>92.942443376671307</v>
      </c>
      <c r="J47" s="129">
        <f t="shared" si="17"/>
        <v>5.8928148668809515</v>
      </c>
      <c r="K47" s="130">
        <f t="shared" si="18"/>
        <v>93.849065122800951</v>
      </c>
      <c r="L47" s="129">
        <f t="shared" si="19"/>
        <v>1.2658364324465339</v>
      </c>
      <c r="M47" s="130">
        <f t="shared" si="20"/>
        <v>89.222086688366531</v>
      </c>
      <c r="N47" s="129">
        <f t="shared" si="19"/>
        <v>3.859833763625828</v>
      </c>
      <c r="O47" s="136">
        <f t="shared" si="21"/>
        <v>91.816084019545826</v>
      </c>
    </row>
    <row r="48" spans="1:15" ht="15.75">
      <c r="A48" s="46">
        <f t="shared" si="6"/>
        <v>2024</v>
      </c>
      <c r="B48" s="124">
        <v>80.229414055999996</v>
      </c>
      <c r="C48" s="125">
        <f t="shared" si="12"/>
        <v>0.85</v>
      </c>
      <c r="D48" s="124">
        <v>90.168475261038409</v>
      </c>
      <c r="E48" s="124">
        <f t="shared" si="7"/>
        <v>3.5862100841173543</v>
      </c>
      <c r="F48" s="129">
        <f t="shared" si="14"/>
        <v>-0.23792200353507434</v>
      </c>
      <c r="G48" s="130">
        <f t="shared" si="15"/>
        <v>89.930553257503334</v>
      </c>
      <c r="H48" s="129">
        <f t="shared" si="14"/>
        <v>4.9861931207513122</v>
      </c>
      <c r="I48" s="130">
        <f t="shared" si="16"/>
        <v>95.154668381789719</v>
      </c>
      <c r="J48" s="129">
        <f t="shared" si="17"/>
        <v>5.8928148668809515</v>
      </c>
      <c r="K48" s="130">
        <f t="shared" si="18"/>
        <v>96.061290127919364</v>
      </c>
      <c r="L48" s="129">
        <f t="shared" si="19"/>
        <v>1.2658364324465339</v>
      </c>
      <c r="M48" s="130">
        <f t="shared" si="20"/>
        <v>91.434311693484943</v>
      </c>
      <c r="N48" s="129">
        <f t="shared" si="19"/>
        <v>3.859833763625828</v>
      </c>
      <c r="O48" s="136">
        <f t="shared" si="21"/>
        <v>94.028309024664239</v>
      </c>
    </row>
    <row r="49" spans="1:15" ht="15.75">
      <c r="A49" s="46">
        <f t="shared" si="6"/>
        <v>2025</v>
      </c>
      <c r="B49" s="124">
        <v>82.182002337119997</v>
      </c>
      <c r="C49" s="125">
        <f t="shared" si="12"/>
        <v>0.85</v>
      </c>
      <c r="D49" s="124">
        <v>92.423294766259161</v>
      </c>
      <c r="E49" s="124">
        <f t="shared" si="7"/>
        <v>3.6222017857997173</v>
      </c>
      <c r="F49" s="129">
        <f t="shared" si="14"/>
        <v>-0.23792200353507434</v>
      </c>
      <c r="G49" s="130">
        <f t="shared" si="15"/>
        <v>92.185372762724086</v>
      </c>
      <c r="H49" s="129">
        <f t="shared" si="14"/>
        <v>4.9861931207513122</v>
      </c>
      <c r="I49" s="130">
        <f t="shared" si="16"/>
        <v>97.409487887010471</v>
      </c>
      <c r="J49" s="129">
        <f t="shared" si="17"/>
        <v>5.8928148668809515</v>
      </c>
      <c r="K49" s="130">
        <f t="shared" si="18"/>
        <v>98.316109633140115</v>
      </c>
      <c r="L49" s="129">
        <f t="shared" si="19"/>
        <v>1.2658364324465339</v>
      </c>
      <c r="M49" s="130">
        <f t="shared" si="20"/>
        <v>93.689131198705695</v>
      </c>
      <c r="N49" s="129">
        <f t="shared" si="19"/>
        <v>3.859833763625828</v>
      </c>
      <c r="O49" s="136">
        <f t="shared" si="21"/>
        <v>96.283128529884991</v>
      </c>
    </row>
    <row r="50" spans="1:15" ht="15.75">
      <c r="A50" s="46">
        <f t="shared" si="6"/>
        <v>2026</v>
      </c>
      <c r="B50" s="124">
        <v>84.188142383862413</v>
      </c>
      <c r="C50" s="125">
        <f t="shared" si="12"/>
        <v>0.85</v>
      </c>
      <c r="D50" s="124">
        <v>94.481060661584365</v>
      </c>
      <c r="E50" s="124">
        <f t="shared" si="7"/>
        <v>3.8792408215157081</v>
      </c>
      <c r="F50" s="129">
        <f t="shared" si="14"/>
        <v>-0.23792200353507434</v>
      </c>
      <c r="G50" s="130">
        <f t="shared" si="15"/>
        <v>94.24313865804929</v>
      </c>
      <c r="H50" s="129">
        <f t="shared" si="14"/>
        <v>4.9861931207513122</v>
      </c>
      <c r="I50" s="130">
        <f t="shared" si="16"/>
        <v>99.467253782335675</v>
      </c>
      <c r="J50" s="129">
        <f t="shared" si="17"/>
        <v>5.8928148668809515</v>
      </c>
      <c r="K50" s="130">
        <f t="shared" si="18"/>
        <v>100.37387552846532</v>
      </c>
      <c r="L50" s="129">
        <f t="shared" si="19"/>
        <v>1.2658364324465339</v>
      </c>
      <c r="M50" s="130">
        <f t="shared" si="20"/>
        <v>95.746897094030899</v>
      </c>
      <c r="N50" s="129">
        <f t="shared" si="19"/>
        <v>3.859833763625828</v>
      </c>
      <c r="O50" s="136">
        <f t="shared" si="21"/>
        <v>98.340894425210195</v>
      </c>
    </row>
    <row r="51" spans="1:15" ht="15.75">
      <c r="A51" s="46">
        <f t="shared" si="6"/>
        <v>2027</v>
      </c>
      <c r="B51" s="124">
        <v>85.853405231539654</v>
      </c>
      <c r="C51" s="125">
        <f t="shared" si="12"/>
        <v>0.85</v>
      </c>
      <c r="D51" s="124">
        <v>96.342681874816037</v>
      </c>
      <c r="E51" s="124">
        <f t="shared" si="7"/>
        <v>3.9621256379460306</v>
      </c>
      <c r="F51" s="129">
        <f t="shared" si="14"/>
        <v>-0.23792200353507434</v>
      </c>
      <c r="G51" s="130">
        <f t="shared" si="15"/>
        <v>96.104759871280962</v>
      </c>
      <c r="H51" s="129">
        <f t="shared" si="14"/>
        <v>4.9861931207513122</v>
      </c>
      <c r="I51" s="130">
        <f t="shared" si="16"/>
        <v>101.32887499556735</v>
      </c>
      <c r="J51" s="129">
        <f t="shared" si="17"/>
        <v>5.8928148668809515</v>
      </c>
      <c r="K51" s="130">
        <f t="shared" si="18"/>
        <v>102.23549674169699</v>
      </c>
      <c r="L51" s="129">
        <f t="shared" si="19"/>
        <v>1.2658364324465339</v>
      </c>
      <c r="M51" s="130">
        <f t="shared" si="20"/>
        <v>97.608518307262571</v>
      </c>
      <c r="N51" s="129">
        <f t="shared" si="19"/>
        <v>3.859833763625828</v>
      </c>
      <c r="O51" s="136">
        <f t="shared" si="21"/>
        <v>100.20251563844187</v>
      </c>
    </row>
    <row r="52" spans="1:15" ht="15.75">
      <c r="A52" s="46">
        <f t="shared" si="6"/>
        <v>2028</v>
      </c>
      <c r="B52" s="124">
        <v>87.568973336170444</v>
      </c>
      <c r="C52" s="125">
        <f t="shared" si="12"/>
        <v>0.85</v>
      </c>
      <c r="D52" s="124">
        <v>98.282535512312364</v>
      </c>
      <c r="E52" s="124">
        <f t="shared" si="7"/>
        <v>4.0288181507049359</v>
      </c>
      <c r="F52" s="129">
        <f t="shared" si="14"/>
        <v>-0.23792200353507434</v>
      </c>
      <c r="G52" s="130">
        <f t="shared" si="15"/>
        <v>98.044613508777289</v>
      </c>
      <c r="H52" s="129">
        <f t="shared" si="14"/>
        <v>4.9861931207513122</v>
      </c>
      <c r="I52" s="130">
        <f t="shared" si="16"/>
        <v>103.26872863306367</v>
      </c>
      <c r="J52" s="129">
        <f t="shared" si="17"/>
        <v>5.8928148668809515</v>
      </c>
      <c r="K52" s="130">
        <f t="shared" si="18"/>
        <v>104.17535037919332</v>
      </c>
      <c r="L52" s="129">
        <f t="shared" si="19"/>
        <v>1.2658364324465339</v>
      </c>
      <c r="M52" s="130">
        <f t="shared" si="20"/>
        <v>99.548371944758898</v>
      </c>
      <c r="N52" s="129">
        <f t="shared" si="19"/>
        <v>3.859833763625828</v>
      </c>
      <c r="O52" s="136">
        <f t="shared" si="21"/>
        <v>102.14236927593819</v>
      </c>
    </row>
    <row r="53" spans="1:15" ht="15.75">
      <c r="A53" s="46">
        <f t="shared" si="6"/>
        <v>2029</v>
      </c>
      <c r="B53" s="124">
        <v>89.335352802893851</v>
      </c>
      <c r="C53" s="125">
        <f t="shared" si="12"/>
        <v>0.85</v>
      </c>
      <c r="D53" s="124">
        <v>100.25118622255863</v>
      </c>
      <c r="E53" s="124">
        <f t="shared" si="7"/>
        <v>4.1218445137190116</v>
      </c>
      <c r="F53" s="129">
        <f t="shared" si="14"/>
        <v>-0.23792200353507434</v>
      </c>
      <c r="G53" s="130">
        <f t="shared" si="15"/>
        <v>100.01326421902355</v>
      </c>
      <c r="H53" s="129">
        <f t="shared" si="14"/>
        <v>4.9861931207513122</v>
      </c>
      <c r="I53" s="130">
        <f t="shared" si="16"/>
        <v>105.23737934330994</v>
      </c>
      <c r="J53" s="129">
        <f t="shared" si="17"/>
        <v>5.8928148668809515</v>
      </c>
      <c r="K53" s="130">
        <f t="shared" si="18"/>
        <v>106.14400108943958</v>
      </c>
      <c r="L53" s="129">
        <f t="shared" si="19"/>
        <v>1.2658364324465339</v>
      </c>
      <c r="M53" s="130">
        <f t="shared" si="20"/>
        <v>101.51702265500516</v>
      </c>
      <c r="N53" s="129">
        <f t="shared" si="19"/>
        <v>3.859833763625828</v>
      </c>
      <c r="O53" s="136">
        <f t="shared" si="21"/>
        <v>104.11101998618446</v>
      </c>
    </row>
    <row r="54" spans="1:15" ht="15.75">
      <c r="A54" s="46">
        <f t="shared" si="6"/>
        <v>2030</v>
      </c>
      <c r="B54" s="124">
        <v>91.12805985895173</v>
      </c>
      <c r="C54" s="125">
        <f t="shared" si="12"/>
        <v>0.85</v>
      </c>
      <c r="D54" s="124">
        <v>102.27420994700979</v>
      </c>
      <c r="E54" s="124">
        <f t="shared" si="7"/>
        <v>4.1949814039934097</v>
      </c>
      <c r="F54" s="129">
        <f t="shared" si="14"/>
        <v>-0.23792200353507434</v>
      </c>
      <c r="G54" s="130">
        <f t="shared" si="15"/>
        <v>102.03628794347472</v>
      </c>
      <c r="H54" s="129">
        <f t="shared" si="14"/>
        <v>4.9861931207513122</v>
      </c>
      <c r="I54" s="130">
        <f t="shared" si="16"/>
        <v>107.2604030677611</v>
      </c>
      <c r="J54" s="129">
        <f t="shared" si="17"/>
        <v>5.8928148668809515</v>
      </c>
      <c r="K54" s="130">
        <f t="shared" si="18"/>
        <v>108.16702481389075</v>
      </c>
      <c r="L54" s="129">
        <f t="shared" si="19"/>
        <v>1.2658364324465339</v>
      </c>
      <c r="M54" s="130">
        <f t="shared" si="20"/>
        <v>103.54004637945633</v>
      </c>
      <c r="N54" s="129">
        <f t="shared" si="19"/>
        <v>3.859833763625828</v>
      </c>
      <c r="O54" s="136">
        <f t="shared" si="21"/>
        <v>106.13404371063562</v>
      </c>
    </row>
    <row r="55" spans="1:15" ht="15.75">
      <c r="A55" s="46">
        <f t="shared" si="6"/>
        <v>2031</v>
      </c>
      <c r="B55" s="124">
        <v>92.947621056130771</v>
      </c>
      <c r="C55" s="125">
        <f t="shared" si="12"/>
        <v>0.85</v>
      </c>
      <c r="D55" s="124">
        <v>104.30219414594998</v>
      </c>
      <c r="E55" s="124">
        <f t="shared" si="7"/>
        <v>4.2907560320732898</v>
      </c>
      <c r="F55" s="129">
        <f t="shared" si="14"/>
        <v>-0.23792200353507434</v>
      </c>
      <c r="G55" s="130">
        <f t="shared" si="15"/>
        <v>104.06427214241491</v>
      </c>
      <c r="H55" s="129">
        <f t="shared" si="14"/>
        <v>4.9861931207513122</v>
      </c>
      <c r="I55" s="130">
        <f t="shared" si="16"/>
        <v>109.28838726670129</v>
      </c>
      <c r="J55" s="129">
        <f t="shared" si="17"/>
        <v>5.8928148668809515</v>
      </c>
      <c r="K55" s="130">
        <f t="shared" si="18"/>
        <v>110.19500901283094</v>
      </c>
      <c r="L55" s="129">
        <f t="shared" si="19"/>
        <v>1.2658364324465339</v>
      </c>
      <c r="M55" s="130">
        <f t="shared" si="20"/>
        <v>105.56803057839652</v>
      </c>
      <c r="N55" s="129">
        <f t="shared" si="19"/>
        <v>3.859833763625828</v>
      </c>
      <c r="O55" s="136">
        <f t="shared" si="21"/>
        <v>108.16202790957581</v>
      </c>
    </row>
  </sheetData>
  <pageMargins left="0.74803149606299213" right="0.74803149606299213" top="0.98425196850393704" bottom="0.98425196850393704" header="0.51181102362204722" footer="0.51181102362204722"/>
  <pageSetup scale="62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15" workbookViewId="0">
      <selection activeCell="G22" sqref="G22"/>
    </sheetView>
    <sheetView workbookViewId="1"/>
  </sheetViews>
  <sheetFormatPr defaultRowHeight="15"/>
  <cols>
    <col min="1" max="1" width="4.28515625" customWidth="1"/>
    <col min="2" max="2" width="15.140625" customWidth="1"/>
    <col min="3" max="4" width="7.42578125" customWidth="1"/>
    <col min="5" max="5" width="17.140625" customWidth="1"/>
    <col min="6" max="6" width="22" customWidth="1"/>
    <col min="7" max="7" width="5.5703125" customWidth="1"/>
    <col min="8" max="8" width="9" customWidth="1"/>
    <col min="9" max="9" width="9.42578125" customWidth="1"/>
    <col min="11" max="11" width="20.85546875" customWidth="1"/>
  </cols>
  <sheetData>
    <row r="1" spans="1:11">
      <c r="A1" t="s">
        <v>53</v>
      </c>
    </row>
    <row r="2" spans="1:11">
      <c r="F2" t="s">
        <v>56</v>
      </c>
      <c r="H2" t="s">
        <v>57</v>
      </c>
      <c r="I2" s="1" t="s">
        <v>54</v>
      </c>
      <c r="K2" s="1" t="s">
        <v>90</v>
      </c>
    </row>
    <row r="3" spans="1:11">
      <c r="A3" t="s">
        <v>94</v>
      </c>
    </row>
    <row r="5" spans="1:11">
      <c r="B5" t="s">
        <v>83</v>
      </c>
      <c r="I5" s="76">
        <f>'Cost inputs'!D5</f>
        <v>80</v>
      </c>
      <c r="J5" t="s">
        <v>61</v>
      </c>
      <c r="K5" t="s">
        <v>91</v>
      </c>
    </row>
    <row r="6" spans="1:11">
      <c r="B6" t="s">
        <v>85</v>
      </c>
      <c r="I6" s="76">
        <f>'Cost inputs'!D6</f>
        <v>300</v>
      </c>
      <c r="J6" t="s">
        <v>61</v>
      </c>
      <c r="K6" t="s">
        <v>91</v>
      </c>
    </row>
    <row r="7" spans="1:11">
      <c r="B7" t="s">
        <v>84</v>
      </c>
      <c r="H7" s="3"/>
      <c r="I7" s="76">
        <f>'Cost inputs'!D7</f>
        <v>20</v>
      </c>
      <c r="J7" t="s">
        <v>61</v>
      </c>
      <c r="K7" t="s">
        <v>91</v>
      </c>
    </row>
    <row r="8" spans="1:11">
      <c r="B8" t="s">
        <v>86</v>
      </c>
      <c r="H8" s="3"/>
      <c r="I8" s="76">
        <f>'Cost inputs'!D8</f>
        <v>50</v>
      </c>
      <c r="J8" t="s">
        <v>61</v>
      </c>
      <c r="K8" t="s">
        <v>91</v>
      </c>
    </row>
    <row r="9" spans="1:11">
      <c r="B9" t="s">
        <v>87</v>
      </c>
      <c r="H9" s="5"/>
      <c r="I9" s="76">
        <f>'Cost inputs'!D9</f>
        <v>10</v>
      </c>
      <c r="J9" t="s">
        <v>61</v>
      </c>
      <c r="K9" t="s">
        <v>91</v>
      </c>
    </row>
    <row r="10" spans="1:11">
      <c r="B10" t="s">
        <v>88</v>
      </c>
      <c r="H10" s="5"/>
      <c r="I10" s="76">
        <f>'Cost inputs'!D10</f>
        <v>30</v>
      </c>
      <c r="J10" t="s">
        <v>61</v>
      </c>
      <c r="K10" t="s">
        <v>91</v>
      </c>
    </row>
    <row r="11" spans="1:11">
      <c r="B11" t="s">
        <v>59</v>
      </c>
      <c r="I11" s="76">
        <f>'Cost inputs'!D11</f>
        <v>8</v>
      </c>
      <c r="J11" t="s">
        <v>61</v>
      </c>
      <c r="K11" t="s">
        <v>91</v>
      </c>
    </row>
    <row r="12" spans="1:11">
      <c r="B12" t="s">
        <v>60</v>
      </c>
      <c r="I12" s="76">
        <f>'Cost inputs'!D12</f>
        <v>10</v>
      </c>
      <c r="J12" t="s">
        <v>61</v>
      </c>
      <c r="K12" t="s">
        <v>91</v>
      </c>
    </row>
    <row r="13" spans="1:11">
      <c r="B13" t="s">
        <v>95</v>
      </c>
      <c r="I13" s="76">
        <f>'Cost inputs'!D13</f>
        <v>500</v>
      </c>
      <c r="J13" t="s">
        <v>58</v>
      </c>
      <c r="K13" t="s">
        <v>91</v>
      </c>
    </row>
    <row r="14" spans="1:11">
      <c r="B14" t="s">
        <v>191</v>
      </c>
      <c r="I14" s="3">
        <v>3</v>
      </c>
      <c r="J14" t="s">
        <v>61</v>
      </c>
      <c r="K14" t="s">
        <v>91</v>
      </c>
    </row>
    <row r="15" spans="1:11">
      <c r="B15" t="s">
        <v>199</v>
      </c>
      <c r="I15" s="3">
        <v>30</v>
      </c>
      <c r="J15" t="s">
        <v>61</v>
      </c>
      <c r="K15" t="s">
        <v>91</v>
      </c>
    </row>
    <row r="16" spans="1:11">
      <c r="B16" t="s">
        <v>192</v>
      </c>
      <c r="I16" s="3">
        <v>50</v>
      </c>
      <c r="J16" t="s">
        <v>58</v>
      </c>
      <c r="K16" t="s">
        <v>91</v>
      </c>
    </row>
    <row r="18" spans="1:11">
      <c r="A18" t="s">
        <v>89</v>
      </c>
    </row>
    <row r="19" spans="1:11">
      <c r="B19" t="s">
        <v>62</v>
      </c>
      <c r="C19" s="8">
        <f>Summary!E7</f>
        <v>400.15208907254362</v>
      </c>
      <c r="D19" t="s">
        <v>68</v>
      </c>
      <c r="E19" t="s">
        <v>77</v>
      </c>
      <c r="G19" t="s">
        <v>78</v>
      </c>
      <c r="I19" s="11">
        <f>Summary!F7</f>
        <v>1329.2335542857143</v>
      </c>
      <c r="J19" t="s">
        <v>79</v>
      </c>
      <c r="K19" t="s">
        <v>92</v>
      </c>
    </row>
    <row r="20" spans="1:11">
      <c r="G20" t="s">
        <v>80</v>
      </c>
      <c r="I20" s="10">
        <f>Summary!H7</f>
        <v>13.4</v>
      </c>
      <c r="J20" t="s">
        <v>81</v>
      </c>
      <c r="K20" t="s">
        <v>93</v>
      </c>
    </row>
    <row r="21" spans="1:11">
      <c r="G21" t="s">
        <v>77</v>
      </c>
      <c r="I21" s="11">
        <f>I19*I20*C19/1000</f>
        <v>7127.4008204108623</v>
      </c>
      <c r="J21" t="s">
        <v>76</v>
      </c>
    </row>
    <row r="22" spans="1:11">
      <c r="A22" t="s">
        <v>200</v>
      </c>
      <c r="C22">
        <f>Summary!C20/2</f>
        <v>6.25</v>
      </c>
      <c r="D22" t="s">
        <v>201</v>
      </c>
      <c r="I22" s="8"/>
    </row>
    <row r="23" spans="1:11">
      <c r="E23" t="s">
        <v>63</v>
      </c>
      <c r="F23" t="s">
        <v>65</v>
      </c>
      <c r="G23">
        <f>C19/C22/2</f>
        <v>32.012167125803487</v>
      </c>
      <c r="H23" t="s">
        <v>67</v>
      </c>
      <c r="I23" s="3">
        <f>G23*SUM(I$5,I$7,I9,I$12)</f>
        <v>3841.4600550964183</v>
      </c>
      <c r="J23" t="s">
        <v>58</v>
      </c>
    </row>
    <row r="24" spans="1:11">
      <c r="E24" t="s">
        <v>64</v>
      </c>
      <c r="F24" t="s">
        <v>65</v>
      </c>
      <c r="G24">
        <f>C19/C22/2</f>
        <v>32.012167125803487</v>
      </c>
      <c r="H24" t="s">
        <v>67</v>
      </c>
      <c r="I24" s="3">
        <f>G24*SUM(I$5,I$7,I11,I$12)</f>
        <v>3777.4357208448114</v>
      </c>
      <c r="J24" t="s">
        <v>58</v>
      </c>
    </row>
    <row r="25" spans="1:11">
      <c r="E25" t="s">
        <v>66</v>
      </c>
      <c r="I25" s="3">
        <f>I13</f>
        <v>500</v>
      </c>
      <c r="J25" t="s">
        <v>58</v>
      </c>
    </row>
    <row r="26" spans="1:11">
      <c r="E26" t="s">
        <v>69</v>
      </c>
      <c r="I26" s="3">
        <f>SUM(I23:I25)</f>
        <v>8118.8957759412297</v>
      </c>
      <c r="J26" t="s">
        <v>58</v>
      </c>
    </row>
    <row r="28" spans="1:11">
      <c r="C28" t="s">
        <v>70</v>
      </c>
      <c r="G28" s="7">
        <f>Summary!E20</f>
        <v>8</v>
      </c>
      <c r="H28" t="s">
        <v>202</v>
      </c>
      <c r="I28" s="8">
        <f>G28*G23</f>
        <v>256.09733700642789</v>
      </c>
      <c r="J28" t="s">
        <v>73</v>
      </c>
    </row>
    <row r="29" spans="1:11">
      <c r="C29" t="s">
        <v>71</v>
      </c>
      <c r="I29" s="6">
        <f>(I28-I30)*0.365/I31</f>
        <v>3.2367035330268683E-2</v>
      </c>
      <c r="J29" s="4" t="s">
        <v>74</v>
      </c>
    </row>
    <row r="30" spans="1:11">
      <c r="C30" t="s">
        <v>72</v>
      </c>
      <c r="I30" s="8">
        <f>I36*1000/(30.4*(I33*(1-I34)-I35))</f>
        <v>32.356889622325355</v>
      </c>
      <c r="J30" t="s">
        <v>73</v>
      </c>
    </row>
    <row r="31" spans="1:11">
      <c r="C31" t="s">
        <v>75</v>
      </c>
      <c r="I31" s="8">
        <f>I21*I32</f>
        <v>2523.0998904254452</v>
      </c>
      <c r="J31" t="s">
        <v>76</v>
      </c>
    </row>
    <row r="32" spans="1:11">
      <c r="C32" t="s">
        <v>82</v>
      </c>
      <c r="I32" s="9">
        <f>Summary!H20</f>
        <v>0.35399999999999998</v>
      </c>
    </row>
    <row r="33" spans="1:10">
      <c r="C33" t="s">
        <v>353</v>
      </c>
      <c r="I33" s="2">
        <f>Prices!M41</f>
        <v>69.521276569901218</v>
      </c>
      <c r="J33" s="4" t="s">
        <v>187</v>
      </c>
    </row>
    <row r="34" spans="1:10">
      <c r="C34" t="s">
        <v>354</v>
      </c>
      <c r="I34" s="66">
        <v>0.125</v>
      </c>
    </row>
    <row r="35" spans="1:10">
      <c r="C35" t="s">
        <v>185</v>
      </c>
      <c r="I35" s="3">
        <f>Summary!G42</f>
        <v>10</v>
      </c>
      <c r="J35" s="4" t="s">
        <v>187</v>
      </c>
    </row>
    <row r="36" spans="1:10">
      <c r="C36" t="s">
        <v>186</v>
      </c>
      <c r="I36" s="3">
        <f>Summary!F42</f>
        <v>50</v>
      </c>
      <c r="J36" s="4" t="s">
        <v>188</v>
      </c>
    </row>
    <row r="37" spans="1:10">
      <c r="C37" t="s">
        <v>191</v>
      </c>
      <c r="I37" s="3">
        <f>I14</f>
        <v>3</v>
      </c>
      <c r="J37" s="4" t="s">
        <v>61</v>
      </c>
    </row>
    <row r="38" spans="1:10">
      <c r="C38" t="s">
        <v>192</v>
      </c>
      <c r="I38" s="3">
        <f>I16</f>
        <v>50</v>
      </c>
      <c r="J38" s="4" t="s">
        <v>58</v>
      </c>
    </row>
    <row r="39" spans="1:10">
      <c r="C39" t="s">
        <v>203</v>
      </c>
      <c r="I39" s="3">
        <f>'Dev vert ec'!C34</f>
        <v>34791.640768319638</v>
      </c>
      <c r="J39" s="4" t="s">
        <v>58</v>
      </c>
    </row>
    <row r="40" spans="1:10">
      <c r="C40" t="s">
        <v>204</v>
      </c>
      <c r="I40" s="3">
        <f>'Dev vert ec'!C35</f>
        <v>26497.058563396651</v>
      </c>
      <c r="J40" s="4" t="s">
        <v>58</v>
      </c>
    </row>
    <row r="41" spans="1:10">
      <c r="C41" t="s">
        <v>197</v>
      </c>
      <c r="I41" s="44">
        <f>'Dev vert ec'!C37</f>
        <v>0.5329607107388632</v>
      </c>
      <c r="J41" s="4"/>
    </row>
    <row r="43" spans="1:10">
      <c r="A43" t="s">
        <v>200</v>
      </c>
      <c r="C43">
        <f>Summary!C21</f>
        <v>25</v>
      </c>
      <c r="D43" t="s">
        <v>457</v>
      </c>
      <c r="F43">
        <f>Summary!D21</f>
        <v>12.5</v>
      </c>
      <c r="G43" t="s">
        <v>458</v>
      </c>
      <c r="I43" s="8"/>
    </row>
    <row r="44" spans="1:10">
      <c r="E44" t="s">
        <v>63</v>
      </c>
      <c r="F44" t="s">
        <v>65</v>
      </c>
      <c r="G44">
        <f>C19/C43</f>
        <v>16.006083562901743</v>
      </c>
      <c r="H44" t="s">
        <v>67</v>
      </c>
      <c r="I44" s="3">
        <f>G44*SUM(I$6,I$8,I$10,I$12)</f>
        <v>6242.3725895316802</v>
      </c>
      <c r="J44" t="s">
        <v>58</v>
      </c>
    </row>
    <row r="45" spans="1:10">
      <c r="E45" t="s">
        <v>64</v>
      </c>
      <c r="F45" t="s">
        <v>65</v>
      </c>
      <c r="G45">
        <f>C19/F43</f>
        <v>32.012167125803487</v>
      </c>
      <c r="H45" t="s">
        <v>67</v>
      </c>
      <c r="I45" s="3">
        <f>G45*SUM(I$5,I$7,I11,I$12)</f>
        <v>3777.4357208448114</v>
      </c>
      <c r="J45" t="s">
        <v>58</v>
      </c>
    </row>
    <row r="46" spans="1:10">
      <c r="E46" t="s">
        <v>66</v>
      </c>
      <c r="I46" s="3">
        <f>I13</f>
        <v>500</v>
      </c>
      <c r="J46" t="s">
        <v>58</v>
      </c>
    </row>
    <row r="47" spans="1:10">
      <c r="E47" t="s">
        <v>69</v>
      </c>
      <c r="I47" s="3">
        <f>SUM(I44:I46)</f>
        <v>10519.808310376491</v>
      </c>
      <c r="J47" t="s">
        <v>58</v>
      </c>
    </row>
    <row r="49" spans="3:10">
      <c r="C49" t="s">
        <v>70</v>
      </c>
      <c r="G49" s="7">
        <v>25</v>
      </c>
      <c r="H49" t="s">
        <v>202</v>
      </c>
      <c r="I49" s="8">
        <f>G49*G44</f>
        <v>400.15208907254356</v>
      </c>
      <c r="J49" t="s">
        <v>73</v>
      </c>
    </row>
    <row r="50" spans="3:10">
      <c r="C50" t="s">
        <v>71</v>
      </c>
      <c r="I50" s="6">
        <f>(I49-I51)*0.365/I52</f>
        <v>5.1399130926765409E-2</v>
      </c>
      <c r="J50" s="4" t="s">
        <v>74</v>
      </c>
    </row>
    <row r="51" spans="3:10">
      <c r="C51" t="s">
        <v>72</v>
      </c>
      <c r="I51" s="8">
        <f>I57*1000/(30.4*(I54*(1-I55)-I56))</f>
        <v>38.828267546790428</v>
      </c>
      <c r="J51" t="s">
        <v>73</v>
      </c>
    </row>
    <row r="52" spans="3:10">
      <c r="C52" t="s">
        <v>75</v>
      </c>
      <c r="I52" s="8">
        <f>I21*I53</f>
        <v>2565.8642953479102</v>
      </c>
      <c r="J52" t="s">
        <v>76</v>
      </c>
    </row>
    <row r="53" spans="3:10">
      <c r="C53" t="s">
        <v>82</v>
      </c>
      <c r="I53" s="9">
        <f>Summary!H21</f>
        <v>0.36</v>
      </c>
    </row>
    <row r="54" spans="3:10">
      <c r="C54" t="s">
        <v>353</v>
      </c>
      <c r="I54" s="2">
        <f>Prices!M41</f>
        <v>69.521276569901218</v>
      </c>
      <c r="J54" s="4" t="s">
        <v>187</v>
      </c>
    </row>
    <row r="55" spans="3:10">
      <c r="C55" t="s">
        <v>354</v>
      </c>
      <c r="I55" s="66">
        <v>0.125</v>
      </c>
    </row>
    <row r="56" spans="3:10">
      <c r="C56" t="s">
        <v>185</v>
      </c>
      <c r="I56" s="3">
        <f>Summary!G43</f>
        <v>10</v>
      </c>
      <c r="J56" s="4" t="s">
        <v>187</v>
      </c>
    </row>
    <row r="57" spans="3:10">
      <c r="C57" t="s">
        <v>186</v>
      </c>
      <c r="I57" s="3">
        <f>Summary!F43</f>
        <v>60</v>
      </c>
      <c r="J57" s="4" t="s">
        <v>188</v>
      </c>
    </row>
    <row r="58" spans="3:10">
      <c r="C58" t="s">
        <v>191</v>
      </c>
      <c r="I58" s="3">
        <f>I14</f>
        <v>3</v>
      </c>
      <c r="J58" s="4" t="s">
        <v>61</v>
      </c>
    </row>
    <row r="59" spans="3:10">
      <c r="C59" t="s">
        <v>199</v>
      </c>
      <c r="I59" s="3">
        <f>I15</f>
        <v>30</v>
      </c>
      <c r="J59" s="4" t="s">
        <v>61</v>
      </c>
    </row>
    <row r="60" spans="3:10">
      <c r="C60" t="s">
        <v>192</v>
      </c>
      <c r="I60" s="3">
        <f>I16</f>
        <v>50</v>
      </c>
      <c r="J60" s="4" t="s">
        <v>58</v>
      </c>
    </row>
    <row r="61" spans="3:10">
      <c r="C61" t="s">
        <v>203</v>
      </c>
      <c r="I61" s="3">
        <f>'Dev hor ec'!C34</f>
        <v>39267.488631915396</v>
      </c>
      <c r="J61" t="s">
        <v>58</v>
      </c>
    </row>
    <row r="62" spans="3:10">
      <c r="C62" t="s">
        <v>204</v>
      </c>
      <c r="I62" s="3">
        <f>'Dev hor ec'!C35</f>
        <v>31063.251382180457</v>
      </c>
      <c r="J62" t="s">
        <v>58</v>
      </c>
    </row>
    <row r="63" spans="3:10">
      <c r="C63" t="s">
        <v>197</v>
      </c>
      <c r="I63" s="44">
        <f>'Dev hor ec'!C37</f>
        <v>0.62378320458252823</v>
      </c>
    </row>
  </sheetData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20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182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Devonian!I28</f>
        <v>256.09733700642789</v>
      </c>
      <c r="F4" s="14" t="s">
        <v>96</v>
      </c>
      <c r="G4" s="15"/>
    </row>
    <row r="5" spans="1:17" ht="15.75">
      <c r="A5" s="14" t="s">
        <v>184</v>
      </c>
      <c r="B5" s="14"/>
      <c r="E5" s="16">
        <f>Devonian!I29</f>
        <v>3.2367035330268683E-2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Devonian!I30</f>
        <v>32.356889622325355</v>
      </c>
      <c r="F7" s="14" t="s">
        <v>96</v>
      </c>
    </row>
    <row r="8" spans="1:17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Devonian!G23</f>
        <v>32.012167125803487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Devonian!I36</f>
        <v>50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Devonian!I35</f>
        <v>10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Devonian!I26</f>
        <v>8118.8957759412297</v>
      </c>
      <c r="F23" s="12" t="s">
        <v>195</v>
      </c>
      <c r="R23" s="24"/>
      <c r="U23" s="25"/>
    </row>
    <row r="24" spans="1:21">
      <c r="B24" s="12" t="s">
        <v>193</v>
      </c>
      <c r="E24" s="41">
        <f>Devonian!I37*Devonian!G23+Devonian!I38</f>
        <v>146.03650137741045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166542.40941014915</v>
      </c>
      <c r="D31" s="12" t="s">
        <v>58</v>
      </c>
      <c r="E31" s="84">
        <f>C31/E$23</f>
        <v>20.51293845939804</v>
      </c>
    </row>
    <row r="32" spans="1:21">
      <c r="A32" s="26">
        <v>0.05</v>
      </c>
      <c r="B32" s="12" t="s">
        <v>128</v>
      </c>
      <c r="C32" s="29">
        <f>NPV(A32,N$91:N$106)</f>
        <v>85183.557596176644</v>
      </c>
      <c r="D32" s="12" t="s">
        <v>58</v>
      </c>
      <c r="E32" s="84">
        <f t="shared" ref="E32:E36" si="0">C32/E$23</f>
        <v>10.492012700618915</v>
      </c>
    </row>
    <row r="33" spans="1:19">
      <c r="A33" s="26">
        <v>0.1</v>
      </c>
      <c r="B33" s="12" t="s">
        <v>128</v>
      </c>
      <c r="C33" s="29">
        <f t="shared" ref="C33:C36" si="1">NPV(A33,N$91:N$106)</f>
        <v>46252.121184660486</v>
      </c>
      <c r="D33" s="12" t="s">
        <v>58</v>
      </c>
      <c r="E33" s="84">
        <f t="shared" si="0"/>
        <v>5.696848741637953</v>
      </c>
    </row>
    <row r="34" spans="1:19">
      <c r="A34" s="26">
        <v>0.125</v>
      </c>
      <c r="B34" s="12" t="s">
        <v>128</v>
      </c>
      <c r="C34" s="29">
        <f t="shared" si="1"/>
        <v>34791.640768319638</v>
      </c>
      <c r="D34" s="12" t="s">
        <v>58</v>
      </c>
      <c r="E34" s="84">
        <f t="shared" si="0"/>
        <v>4.2852675694418823</v>
      </c>
      <c r="F34" s="14"/>
    </row>
    <row r="35" spans="1:19">
      <c r="A35" s="26">
        <v>0.15</v>
      </c>
      <c r="B35" s="12" t="s">
        <v>128</v>
      </c>
      <c r="C35" s="29">
        <f t="shared" si="1"/>
        <v>26497.058563396651</v>
      </c>
      <c r="D35" s="12" t="s">
        <v>58</v>
      </c>
      <c r="E35" s="84">
        <f t="shared" si="0"/>
        <v>3.2636283670392143</v>
      </c>
      <c r="F35" s="14"/>
    </row>
    <row r="36" spans="1:19">
      <c r="A36" s="26">
        <v>0.2</v>
      </c>
      <c r="B36" s="12" t="s">
        <v>128</v>
      </c>
      <c r="C36" s="29">
        <f t="shared" si="1"/>
        <v>15864.918991211078</v>
      </c>
      <c r="D36" s="12" t="s">
        <v>58</v>
      </c>
      <c r="E36" s="84">
        <f t="shared" si="0"/>
        <v>1.954073488444535</v>
      </c>
      <c r="F36" s="14"/>
    </row>
    <row r="37" spans="1:19">
      <c r="A37" s="12" t="s">
        <v>197</v>
      </c>
      <c r="C37" s="25">
        <f>IRR(N91:N106, 1)</f>
        <v>0.5329607107388632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32">
        <f>D84</f>
        <v>2523.0998904254452</v>
      </c>
      <c r="G40" s="14" t="s">
        <v>76</v>
      </c>
      <c r="H40" s="32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2523.0998904254452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238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256.09733700642789</v>
      </c>
      <c r="C49" s="18">
        <f t="shared" ref="C49:C63" si="2">B49*E$11</f>
        <v>256.09733700642789</v>
      </c>
      <c r="D49" s="35">
        <f t="shared" ref="D49:D63" si="3">C49*(1-$E$26-G$26*(K49-E$14)/K49)+B49*$K$26</f>
        <v>224.08516988062439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Prices!M41</f>
        <v>69.521276569901218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247.94093675735317</v>
      </c>
      <c r="C50" s="18">
        <f t="shared" si="2"/>
        <v>247.94093675735317</v>
      </c>
      <c r="D50" s="35">
        <f t="shared" si="3"/>
        <v>216.94831966268401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Prices!M42</f>
        <v>74.213723922611763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240.04430830364637</v>
      </c>
      <c r="C51" s="18">
        <f t="shared" si="2"/>
        <v>240.04430830364637</v>
      </c>
      <c r="D51" s="35">
        <f t="shared" si="3"/>
        <v>210.03876976569057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Prices!M43</f>
        <v>77.461659961858302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232.39917821786304</v>
      </c>
      <c r="C52" s="18">
        <f t="shared" si="2"/>
        <v>232.39917821786304</v>
      </c>
      <c r="D52" s="35">
        <f t="shared" si="3"/>
        <v>203.34928094063017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Prices!M44</f>
        <v>80.676447644567745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224.97758539254579</v>
      </c>
      <c r="C53" s="18">
        <f t="shared" si="2"/>
        <v>224.97758539254579</v>
      </c>
      <c r="D53" s="35">
        <f t="shared" si="3"/>
        <v>196.85538721847757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Prices!M45</f>
        <v>83.889819761858305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217.81231278572469</v>
      </c>
      <c r="C54" s="18">
        <f t="shared" si="2"/>
        <v>217.81231278572469</v>
      </c>
      <c r="D54" s="35">
        <f t="shared" si="3"/>
        <v>190.58577368750909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Prices!M46</f>
        <v>87.052111193152427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210.87524571964883</v>
      </c>
      <c r="C55" s="18">
        <f t="shared" si="2"/>
        <v>210.87524571964883</v>
      </c>
      <c r="D55" s="35">
        <f t="shared" si="3"/>
        <v>184.51584000469273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Prices!M47</f>
        <v>89.222086688366531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204.15911611511385</v>
      </c>
      <c r="C56" s="18">
        <f t="shared" si="2"/>
        <v>204.15911611511385</v>
      </c>
      <c r="D56" s="35">
        <f t="shared" si="3"/>
        <v>178.63922660072461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Prices!M48</f>
        <v>91.434311693484943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197.63936056777442</v>
      </c>
      <c r="C57" s="18">
        <f t="shared" si="2"/>
        <v>197.63936056777442</v>
      </c>
      <c r="D57" s="35">
        <f t="shared" si="3"/>
        <v>172.93444049680261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Prices!M49</f>
        <v>93.689131198705695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191.34477840380015</v>
      </c>
      <c r="C58" s="18">
        <f t="shared" si="2"/>
        <v>191.34477840380015</v>
      </c>
      <c r="D58" s="35">
        <f t="shared" si="3"/>
        <v>167.42668110332514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Prices!M50</f>
        <v>95.746897094030899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185.2506713096966</v>
      </c>
      <c r="C59" s="18">
        <f t="shared" si="2"/>
        <v>185.2506713096966</v>
      </c>
      <c r="D59" s="35">
        <f t="shared" si="3"/>
        <v>162.09433739598452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Prices!M51</f>
        <v>97.608518307262571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179.35065438927953</v>
      </c>
      <c r="C60" s="18">
        <f t="shared" si="2"/>
        <v>179.35065438927953</v>
      </c>
      <c r="D60" s="35">
        <f t="shared" si="3"/>
        <v>156.93182259061959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Prices!M52</f>
        <v>99.548371944758898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173.62314906831142</v>
      </c>
      <c r="C61" s="18">
        <f t="shared" si="2"/>
        <v>173.62314906831142</v>
      </c>
      <c r="D61" s="35">
        <f t="shared" si="3"/>
        <v>151.92025543477249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Prices!M53</f>
        <v>101.51702265500516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168.09345511342909</v>
      </c>
      <c r="C62" s="18">
        <f t="shared" si="2"/>
        <v>168.09345511342909</v>
      </c>
      <c r="D62" s="35">
        <f t="shared" si="3"/>
        <v>147.08177322425044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Prices!M54</f>
        <v>103.54004637945633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162.73987543477512</v>
      </c>
      <c r="C63" s="18">
        <f t="shared" si="2"/>
        <v>162.73987543477512</v>
      </c>
      <c r="D63" s="35">
        <f t="shared" si="3"/>
        <v>142.39739100542823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Prices!M55</f>
        <v>105.56803057839652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32.012167125803487</v>
      </c>
      <c r="C70" s="32">
        <f>D70</f>
        <v>91.978955147868959</v>
      </c>
      <c r="D70" s="39">
        <f>IF(B50=0,0,IF(E$6=1,(E$4)/(E$5/365)*LN((E$4)/B50)/1000,(E$4)^E$6*((E$4)^(1-E$6)-B50^(1-E$6))/((1-E$6)*E$5/365)/1000))</f>
        <v>91.978955147868959</v>
      </c>
      <c r="E70" s="15">
        <f t="shared" ref="E70:E84" si="9">C70*E$11</f>
        <v>91.978955147868959</v>
      </c>
      <c r="F70" s="39">
        <f t="shared" ref="F70:F84" si="10">D70*E$11</f>
        <v>91.978955147868959</v>
      </c>
      <c r="G70" s="15">
        <f t="shared" ref="G70:G84" si="11">IF(E70=0,0,(H92-I92)/H92*E70)+C70*$K$26</f>
        <v>80.481585754385335</v>
      </c>
      <c r="H70" s="15">
        <f>G70</f>
        <v>80.481585754385335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32.012167125803487</v>
      </c>
      <c r="C71" s="15">
        <f t="shared" ref="C71:C84" si="14">D71-D70</f>
        <v>89.049533149783656</v>
      </c>
      <c r="D71" s="39">
        <f t="shared" ref="D71:D83" si="15">IF(B51=0,D70,IF(E$6=1,(E$4)/(E$5/365)*LN((E$4)/B51)/1000,(E$4)^E$6*((E$4)^(1-E$6)-B51^(1-E$6))/((1-E$6)*E$5/365)/1000))</f>
        <v>181.02848829765261</v>
      </c>
      <c r="E71" s="15">
        <f t="shared" si="9"/>
        <v>89.049533149783656</v>
      </c>
      <c r="F71" s="39">
        <f t="shared" si="10"/>
        <v>181.02848829765261</v>
      </c>
      <c r="G71" s="15">
        <f t="shared" si="11"/>
        <v>77.918341506060699</v>
      </c>
      <c r="H71" s="15">
        <f t="shared" ref="H71:H84" si="16">G71+H70</f>
        <v>158.39992726044602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32.012167125803487</v>
      </c>
      <c r="C72" s="15">
        <f t="shared" si="14"/>
        <v>86.213409811474236</v>
      </c>
      <c r="D72" s="39">
        <f t="shared" si="15"/>
        <v>267.24189810912685</v>
      </c>
      <c r="E72" s="15">
        <f t="shared" si="9"/>
        <v>86.213409811474236</v>
      </c>
      <c r="F72" s="39">
        <f t="shared" si="10"/>
        <v>267.24189810912685</v>
      </c>
      <c r="G72" s="15">
        <f t="shared" si="11"/>
        <v>75.43673358503996</v>
      </c>
      <c r="H72" s="15">
        <f t="shared" si="16"/>
        <v>233.83666084548599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32.012167125803487</v>
      </c>
      <c r="C73" s="15">
        <f t="shared" si="14"/>
        <v>83.692601240729971</v>
      </c>
      <c r="D73" s="39">
        <f t="shared" si="15"/>
        <v>350.93449934985682</v>
      </c>
      <c r="E73" s="15">
        <f t="shared" si="9"/>
        <v>83.692601240729971</v>
      </c>
      <c r="F73" s="39">
        <f t="shared" si="10"/>
        <v>350.93449934985682</v>
      </c>
      <c r="G73" s="15">
        <f t="shared" si="11"/>
        <v>73.231026085638717</v>
      </c>
      <c r="H73" s="15">
        <f t="shared" si="16"/>
        <v>307.06768693112474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32.012167125803487</v>
      </c>
      <c r="C74" s="15">
        <f t="shared" si="14"/>
        <v>80.802102348988626</v>
      </c>
      <c r="D74" s="39">
        <f t="shared" si="15"/>
        <v>431.73660169884545</v>
      </c>
      <c r="E74" s="15">
        <f t="shared" si="9"/>
        <v>80.802102348988626</v>
      </c>
      <c r="F74" s="39">
        <f t="shared" si="10"/>
        <v>431.73660169884545</v>
      </c>
      <c r="G74" s="15">
        <f t="shared" si="11"/>
        <v>70.701839555365041</v>
      </c>
      <c r="H74" s="15">
        <f t="shared" si="16"/>
        <v>377.76952648648978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32.012167125803487</v>
      </c>
      <c r="C75" s="15">
        <f t="shared" si="14"/>
        <v>78.228650022506372</v>
      </c>
      <c r="D75" s="39">
        <f t="shared" si="15"/>
        <v>509.96525172135182</v>
      </c>
      <c r="E75" s="15">
        <f t="shared" si="9"/>
        <v>78.228650022506372</v>
      </c>
      <c r="F75" s="39">
        <f t="shared" si="10"/>
        <v>509.96525172135182</v>
      </c>
      <c r="G75" s="15">
        <f t="shared" si="11"/>
        <v>68.450068769693075</v>
      </c>
      <c r="H75" s="15">
        <f t="shared" si="16"/>
        <v>446.21959525618286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32.012167125803487</v>
      </c>
      <c r="C76" s="15">
        <f t="shared" si="14"/>
        <v>75.737159138662491</v>
      </c>
      <c r="D76" s="39">
        <f t="shared" si="15"/>
        <v>585.70241086001431</v>
      </c>
      <c r="E76" s="15">
        <f t="shared" si="9"/>
        <v>75.737159138662491</v>
      </c>
      <c r="F76" s="39">
        <f t="shared" si="10"/>
        <v>585.70241086001431</v>
      </c>
      <c r="G76" s="15">
        <f t="shared" si="11"/>
        <v>66.27001424632968</v>
      </c>
      <c r="H76" s="15">
        <f t="shared" si="16"/>
        <v>512.48960950251251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32.012167125803487</v>
      </c>
      <c r="C77" s="15">
        <f t="shared" si="14"/>
        <v>73.522667445339266</v>
      </c>
      <c r="D77" s="39">
        <f t="shared" si="15"/>
        <v>659.22507830535358</v>
      </c>
      <c r="E77" s="15">
        <f t="shared" si="9"/>
        <v>73.522667445339266</v>
      </c>
      <c r="F77" s="39">
        <f t="shared" si="10"/>
        <v>659.22507830535358</v>
      </c>
      <c r="G77" s="15">
        <f t="shared" si="11"/>
        <v>64.332334014671858</v>
      </c>
      <c r="H77" s="15">
        <f t="shared" si="16"/>
        <v>576.82194351718431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32.012167125803487</v>
      </c>
      <c r="C78" s="15">
        <f t="shared" si="14"/>
        <v>70.983408471211874</v>
      </c>
      <c r="D78" s="39">
        <f t="shared" si="15"/>
        <v>730.20848677656545</v>
      </c>
      <c r="E78" s="15">
        <f t="shared" si="9"/>
        <v>70.983408471211874</v>
      </c>
      <c r="F78" s="39">
        <f t="shared" si="10"/>
        <v>730.20848677656545</v>
      </c>
      <c r="G78" s="15">
        <f t="shared" si="11"/>
        <v>62.11048241231039</v>
      </c>
      <c r="H78" s="15">
        <f t="shared" si="16"/>
        <v>638.93242592949468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32.012167125803487</v>
      </c>
      <c r="C79" s="15">
        <f t="shared" si="14"/>
        <v>68.722670045336258</v>
      </c>
      <c r="D79" s="39">
        <f t="shared" si="15"/>
        <v>798.93115682190171</v>
      </c>
      <c r="E79" s="15">
        <f t="shared" si="9"/>
        <v>68.722670045336258</v>
      </c>
      <c r="F79" s="39">
        <f t="shared" si="10"/>
        <v>798.93115682190171</v>
      </c>
      <c r="G79" s="15">
        <f t="shared" si="11"/>
        <v>60.132336289669226</v>
      </c>
      <c r="H79" s="15">
        <f t="shared" si="16"/>
        <v>699.06476221916387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32.012167125803487</v>
      </c>
      <c r="C80" s="15">
        <f t="shared" si="14"/>
        <v>66.533933490607183</v>
      </c>
      <c r="D80" s="39">
        <f t="shared" si="15"/>
        <v>865.46509031250889</v>
      </c>
      <c r="E80" s="15">
        <f t="shared" si="9"/>
        <v>66.533933490607183</v>
      </c>
      <c r="F80" s="39">
        <f t="shared" si="10"/>
        <v>865.46509031250889</v>
      </c>
      <c r="G80" s="15">
        <f t="shared" si="11"/>
        <v>58.217191804281278</v>
      </c>
      <c r="H80" s="15">
        <f t="shared" si="16"/>
        <v>757.28195402344511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32.012167125803487</v>
      </c>
      <c r="C81" s="15">
        <f t="shared" si="14"/>
        <v>64.58853647922308</v>
      </c>
      <c r="D81" s="39">
        <f t="shared" si="15"/>
        <v>930.05362679173197</v>
      </c>
      <c r="E81" s="15">
        <f t="shared" si="9"/>
        <v>64.58853647922308</v>
      </c>
      <c r="F81" s="39">
        <f t="shared" si="10"/>
        <v>930.05362679173197</v>
      </c>
      <c r="G81" s="15">
        <f t="shared" si="11"/>
        <v>56.514969419320195</v>
      </c>
      <c r="H81" s="15">
        <f t="shared" si="16"/>
        <v>813.79692344276532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32.012167125803487</v>
      </c>
      <c r="C82" s="15">
        <f t="shared" si="14"/>
        <v>62.357836389314343</v>
      </c>
      <c r="D82" s="39">
        <f t="shared" si="15"/>
        <v>992.41146318104632</v>
      </c>
      <c r="E82" s="15">
        <f t="shared" si="9"/>
        <v>62.357836389314343</v>
      </c>
      <c r="F82" s="39">
        <f t="shared" si="10"/>
        <v>992.41146318104632</v>
      </c>
      <c r="G82" s="15">
        <f t="shared" si="11"/>
        <v>54.56310684065005</v>
      </c>
      <c r="H82" s="15">
        <f t="shared" si="16"/>
        <v>868.36003028341543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32.012167125803487</v>
      </c>
      <c r="C83" s="15">
        <f t="shared" si="14"/>
        <v>60.371812332200875</v>
      </c>
      <c r="D83" s="39">
        <f t="shared" si="15"/>
        <v>1052.7832755132472</v>
      </c>
      <c r="E83" s="15">
        <f t="shared" si="9"/>
        <v>60.371812332200875</v>
      </c>
      <c r="F83" s="39">
        <f t="shared" si="10"/>
        <v>1052.7832755132472</v>
      </c>
      <c r="G83" s="15">
        <f t="shared" si="11"/>
        <v>52.825335790675766</v>
      </c>
      <c r="H83" s="15">
        <f t="shared" si="16"/>
        <v>921.18536607409123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32.012167125803487</v>
      </c>
      <c r="C84" s="15">
        <f t="shared" si="14"/>
        <v>1470.316614912198</v>
      </c>
      <c r="D84" s="39">
        <f>IF(B63=0,D83,IF(E$6=1,(E$4)/(E$5/365)*LN((E$4)/E7)/1000,(E$4)^E$6*((E$4)^(1-E$6)-E7^(1-E$6))/((1-E$6)*E$5/365)/1000))</f>
        <v>2523.0998904254452</v>
      </c>
      <c r="E84" s="15">
        <f t="shared" si="9"/>
        <v>1470.316614912198</v>
      </c>
      <c r="F84" s="39">
        <f t="shared" si="10"/>
        <v>2523.0998904254452</v>
      </c>
      <c r="G84" s="18">
        <f t="shared" si="11"/>
        <v>1286.5270380481734</v>
      </c>
      <c r="H84" s="15">
        <f t="shared" si="16"/>
        <v>2207.7124041222646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8118.8957759412297</v>
      </c>
      <c r="N91" s="41">
        <f t="shared" ref="N91:N106" si="17">L91-M91</f>
        <v>-8118.8957759412297</v>
      </c>
    </row>
    <row r="92" spans="1:18">
      <c r="A92" s="38">
        <f t="shared" ref="A92:A106" si="18">A70</f>
        <v>42736</v>
      </c>
      <c r="B92" s="18">
        <f t="shared" ref="B92:B106" si="19">I70*$G$9*1000</f>
        <v>0</v>
      </c>
      <c r="C92" s="18">
        <f t="shared" ref="C92:C106" si="20">J70*$G$9*1000</f>
        <v>0</v>
      </c>
      <c r="D92" s="18">
        <f t="shared" ref="D92:D106" si="21">K70*$G$9*1000</f>
        <v>0</v>
      </c>
      <c r="E92" s="18">
        <f t="shared" ref="E92:E106" si="22">L70*$G$9*1000</f>
        <v>0</v>
      </c>
      <c r="F92" s="18">
        <f t="shared" ref="F92:F106" si="23">M70*$G$9*1000</f>
        <v>0</v>
      </c>
      <c r="G92" s="18">
        <f t="shared" ref="G92:G106" si="24">N70*$G$9*1000</f>
        <v>0</v>
      </c>
      <c r="H92" s="41">
        <f t="shared" ref="H92:H106" si="25">E70*K49+K70*L49+D92*M49/1000</f>
        <v>6394.4943794455376</v>
      </c>
      <c r="I92" s="41">
        <f t="shared" ref="I92:I106" si="26">E70*K49*E$26+E70*(K49-E$14)*G$26+K70*L49*E$26+K70*(L49-E$15)*G$26+D92*M49*(E$26+G$26)/1000</f>
        <v>799.3117974306922</v>
      </c>
      <c r="J92" s="41">
        <f t="shared" ref="J92:J106" si="27">C70*K49*I$26+C70*(K49-E$14)*K$26+I70*L49*I$26+I70*(L49-E$15)*K$26+B92*M49*(I$26+K$26)/1000</f>
        <v>0</v>
      </c>
      <c r="K92" s="41">
        <f t="shared" ref="K92:K106" si="28">IF(H92=0,0,((B70*E$16+E$19)*12+E70*(E$17+E$20)+K70*E$18)*(1+E$21)^((A49-A$49)/365))</f>
        <v>1519.7895514786896</v>
      </c>
      <c r="L92" s="41">
        <f t="shared" ref="L92:L106" si="29">H92+J92-I92-K92</f>
        <v>4075.3930305361555</v>
      </c>
      <c r="M92" s="41">
        <f t="shared" ref="M92:M104" si="30">IF(B71&lt;B70,E$24*(1+E$21/365)^(A49-A$49),0)</f>
        <v>0</v>
      </c>
      <c r="N92" s="41">
        <f t="shared" si="17"/>
        <v>4075.3930305361555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20"/>
        <v>0</v>
      </c>
      <c r="D93" s="18">
        <f t="shared" si="21"/>
        <v>0</v>
      </c>
      <c r="E93" s="18">
        <f t="shared" si="22"/>
        <v>0</v>
      </c>
      <c r="F93" s="18">
        <f t="shared" si="23"/>
        <v>0</v>
      </c>
      <c r="G93" s="18">
        <f t="shared" si="24"/>
        <v>0</v>
      </c>
      <c r="H93" s="41">
        <f t="shared" si="25"/>
        <v>6608.6974686155081</v>
      </c>
      <c r="I93" s="41">
        <f t="shared" si="26"/>
        <v>826.08718357693851</v>
      </c>
      <c r="J93" s="41">
        <f t="shared" si="27"/>
        <v>0</v>
      </c>
      <c r="K93" s="41">
        <f t="shared" si="28"/>
        <v>1520.3052381277932</v>
      </c>
      <c r="L93" s="41">
        <f t="shared" si="29"/>
        <v>4262.3050469107766</v>
      </c>
      <c r="M93" s="41">
        <f t="shared" si="30"/>
        <v>0</v>
      </c>
      <c r="N93" s="41">
        <f t="shared" si="17"/>
        <v>4262.3050469107766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20"/>
        <v>0</v>
      </c>
      <c r="D94" s="18">
        <f t="shared" si="21"/>
        <v>0</v>
      </c>
      <c r="E94" s="18">
        <f t="shared" si="22"/>
        <v>0</v>
      </c>
      <c r="F94" s="18">
        <f t="shared" si="23"/>
        <v>0</v>
      </c>
      <c r="G94" s="18">
        <f t="shared" si="24"/>
        <v>0</v>
      </c>
      <c r="H94" s="41">
        <f t="shared" si="25"/>
        <v>6678.2338349687552</v>
      </c>
      <c r="I94" s="41">
        <f t="shared" si="26"/>
        <v>834.7792293710944</v>
      </c>
      <c r="J94" s="41">
        <f t="shared" si="27"/>
        <v>0</v>
      </c>
      <c r="K94" s="41">
        <f t="shared" si="28"/>
        <v>1521.2043156785778</v>
      </c>
      <c r="L94" s="41">
        <f t="shared" si="29"/>
        <v>4322.2502899190831</v>
      </c>
      <c r="M94" s="41">
        <f t="shared" si="30"/>
        <v>0</v>
      </c>
      <c r="N94" s="41">
        <f t="shared" si="17"/>
        <v>4322.2502899190831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20"/>
        <v>0</v>
      </c>
      <c r="D95" s="18">
        <f t="shared" si="21"/>
        <v>0</v>
      </c>
      <c r="E95" s="18">
        <f t="shared" si="22"/>
        <v>0</v>
      </c>
      <c r="F95" s="18">
        <f t="shared" si="23"/>
        <v>0</v>
      </c>
      <c r="G95" s="18">
        <f t="shared" si="24"/>
        <v>0</v>
      </c>
      <c r="H95" s="41">
        <f t="shared" si="25"/>
        <v>6752.0217622354367</v>
      </c>
      <c r="I95" s="41">
        <f t="shared" si="26"/>
        <v>844.00272027942958</v>
      </c>
      <c r="J95" s="41">
        <f t="shared" si="27"/>
        <v>0</v>
      </c>
      <c r="K95" s="41">
        <f t="shared" si="28"/>
        <v>1524.8773797747258</v>
      </c>
      <c r="L95" s="41">
        <f t="shared" si="29"/>
        <v>4383.1416621812805</v>
      </c>
      <c r="M95" s="41">
        <f t="shared" si="30"/>
        <v>0</v>
      </c>
      <c r="N95" s="41">
        <f t="shared" si="17"/>
        <v>4383.1416621812805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20"/>
        <v>0</v>
      </c>
      <c r="D96" s="18">
        <f t="shared" si="21"/>
        <v>0</v>
      </c>
      <c r="E96" s="18">
        <f t="shared" si="22"/>
        <v>0</v>
      </c>
      <c r="F96" s="18">
        <f t="shared" si="23"/>
        <v>0</v>
      </c>
      <c r="G96" s="18">
        <f t="shared" si="24"/>
        <v>0</v>
      </c>
      <c r="H96" s="41">
        <f t="shared" si="25"/>
        <v>6778.473802435883</v>
      </c>
      <c r="I96" s="41">
        <f t="shared" si="26"/>
        <v>847.30922530448538</v>
      </c>
      <c r="J96" s="41">
        <f t="shared" si="27"/>
        <v>0</v>
      </c>
      <c r="K96" s="41">
        <f t="shared" si="28"/>
        <v>1524.1699275083251</v>
      </c>
      <c r="L96" s="41">
        <f t="shared" si="29"/>
        <v>4406.9946496230732</v>
      </c>
      <c r="M96" s="41">
        <f t="shared" si="30"/>
        <v>0</v>
      </c>
      <c r="N96" s="41">
        <f t="shared" si="17"/>
        <v>4406.9946496230732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20"/>
        <v>0</v>
      </c>
      <c r="D97" s="18">
        <f t="shared" si="21"/>
        <v>0</v>
      </c>
      <c r="E97" s="18">
        <f t="shared" si="22"/>
        <v>0</v>
      </c>
      <c r="F97" s="18">
        <f t="shared" si="23"/>
        <v>0</v>
      </c>
      <c r="G97" s="18">
        <f t="shared" si="24"/>
        <v>0</v>
      </c>
      <c r="H97" s="41">
        <f t="shared" si="25"/>
        <v>6809.9691402494309</v>
      </c>
      <c r="I97" s="41">
        <f t="shared" si="26"/>
        <v>851.24614253117886</v>
      </c>
      <c r="J97" s="41">
        <f t="shared" si="27"/>
        <v>0</v>
      </c>
      <c r="K97" s="41">
        <f t="shared" si="28"/>
        <v>1526.2387913883892</v>
      </c>
      <c r="L97" s="41">
        <f t="shared" si="29"/>
        <v>4432.4842063298629</v>
      </c>
      <c r="M97" s="41">
        <f t="shared" si="30"/>
        <v>0</v>
      </c>
      <c r="N97" s="41">
        <f t="shared" si="17"/>
        <v>4432.4842063298629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20"/>
        <v>0</v>
      </c>
      <c r="D98" s="18">
        <f t="shared" si="21"/>
        <v>0</v>
      </c>
      <c r="E98" s="18">
        <f t="shared" si="22"/>
        <v>0</v>
      </c>
      <c r="F98" s="18">
        <f t="shared" si="23"/>
        <v>0</v>
      </c>
      <c r="G98" s="18">
        <f t="shared" si="24"/>
        <v>0</v>
      </c>
      <c r="H98" s="41">
        <f t="shared" si="25"/>
        <v>6757.4273782003565</v>
      </c>
      <c r="I98" s="41">
        <f t="shared" si="26"/>
        <v>844.67842227504457</v>
      </c>
      <c r="J98" s="41">
        <f t="shared" si="27"/>
        <v>0</v>
      </c>
      <c r="K98" s="41">
        <f t="shared" si="28"/>
        <v>1528.7038108965535</v>
      </c>
      <c r="L98" s="41">
        <f t="shared" si="29"/>
        <v>4384.0451450287583</v>
      </c>
      <c r="M98" s="41">
        <f t="shared" si="30"/>
        <v>0</v>
      </c>
      <c r="N98" s="41">
        <f t="shared" si="17"/>
        <v>4384.0451450287583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20"/>
        <v>0</v>
      </c>
      <c r="D99" s="18">
        <f t="shared" si="21"/>
        <v>0</v>
      </c>
      <c r="E99" s="18">
        <f t="shared" si="22"/>
        <v>0</v>
      </c>
      <c r="F99" s="18">
        <f t="shared" si="23"/>
        <v>0</v>
      </c>
      <c r="G99" s="18">
        <f t="shared" si="24"/>
        <v>0</v>
      </c>
      <c r="H99" s="41">
        <f t="shared" si="25"/>
        <v>6722.4944917335888</v>
      </c>
      <c r="I99" s="41">
        <f t="shared" si="26"/>
        <v>840.3118114666986</v>
      </c>
      <c r="J99" s="41">
        <f t="shared" si="27"/>
        <v>0</v>
      </c>
      <c r="K99" s="41">
        <f t="shared" si="28"/>
        <v>1533.838958301556</v>
      </c>
      <c r="L99" s="41">
        <f t="shared" si="29"/>
        <v>4348.3437219653342</v>
      </c>
      <c r="M99" s="41">
        <f t="shared" si="30"/>
        <v>0</v>
      </c>
      <c r="N99" s="41">
        <f t="shared" si="17"/>
        <v>4348.3437219653342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20"/>
        <v>0</v>
      </c>
      <c r="D100" s="18">
        <f t="shared" si="21"/>
        <v>0</v>
      </c>
      <c r="E100" s="18">
        <f t="shared" si="22"/>
        <v>0</v>
      </c>
      <c r="F100" s="18">
        <f t="shared" si="23"/>
        <v>0</v>
      </c>
      <c r="G100" s="18">
        <f t="shared" si="24"/>
        <v>0</v>
      </c>
      <c r="H100" s="41">
        <f t="shared" si="25"/>
        <v>6650.3738691906865</v>
      </c>
      <c r="I100" s="41">
        <f t="shared" si="26"/>
        <v>831.29673364883581</v>
      </c>
      <c r="J100" s="41">
        <f t="shared" si="27"/>
        <v>0</v>
      </c>
      <c r="K100" s="41">
        <f t="shared" si="28"/>
        <v>1534.8459262404613</v>
      </c>
      <c r="L100" s="41">
        <f t="shared" si="29"/>
        <v>4284.2312093013898</v>
      </c>
      <c r="M100" s="41">
        <f t="shared" si="30"/>
        <v>0</v>
      </c>
      <c r="N100" s="41">
        <f t="shared" si="17"/>
        <v>4284.2312093013898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20"/>
        <v>0</v>
      </c>
      <c r="D101" s="18">
        <f t="shared" si="21"/>
        <v>0</v>
      </c>
      <c r="E101" s="18">
        <f t="shared" si="22"/>
        <v>0</v>
      </c>
      <c r="F101" s="18">
        <f t="shared" si="23"/>
        <v>0</v>
      </c>
      <c r="G101" s="18">
        <f t="shared" si="24"/>
        <v>0</v>
      </c>
      <c r="H101" s="41">
        <f t="shared" si="25"/>
        <v>6579.9824168578507</v>
      </c>
      <c r="I101" s="41">
        <f t="shared" si="26"/>
        <v>822.49780210723134</v>
      </c>
      <c r="J101" s="41">
        <f t="shared" si="27"/>
        <v>0</v>
      </c>
      <c r="K101" s="41">
        <f t="shared" si="28"/>
        <v>1538.5219960346974</v>
      </c>
      <c r="L101" s="41">
        <f t="shared" si="29"/>
        <v>4218.962618715922</v>
      </c>
      <c r="M101" s="41">
        <f t="shared" si="30"/>
        <v>0</v>
      </c>
      <c r="N101" s="41">
        <f t="shared" si="17"/>
        <v>4218.962618715922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20"/>
        <v>0</v>
      </c>
      <c r="D102" s="18">
        <f t="shared" si="21"/>
        <v>0</v>
      </c>
      <c r="E102" s="18">
        <f t="shared" si="22"/>
        <v>0</v>
      </c>
      <c r="F102" s="18">
        <f t="shared" si="23"/>
        <v>0</v>
      </c>
      <c r="G102" s="18">
        <f t="shared" si="24"/>
        <v>0</v>
      </c>
      <c r="H102" s="41">
        <f t="shared" si="25"/>
        <v>6494.2786651721217</v>
      </c>
      <c r="I102" s="41">
        <f t="shared" si="26"/>
        <v>811.78483314651521</v>
      </c>
      <c r="J102" s="41">
        <f t="shared" si="27"/>
        <v>0</v>
      </c>
      <c r="K102" s="41">
        <f t="shared" si="28"/>
        <v>1542.6089642838849</v>
      </c>
      <c r="L102" s="41">
        <f t="shared" si="29"/>
        <v>4139.8848677417209</v>
      </c>
      <c r="M102" s="41">
        <f t="shared" si="30"/>
        <v>0</v>
      </c>
      <c r="N102" s="41">
        <f t="shared" si="17"/>
        <v>4139.8848677417209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20"/>
        <v>0</v>
      </c>
      <c r="D103" s="18">
        <f t="shared" si="21"/>
        <v>0</v>
      </c>
      <c r="E103" s="18">
        <f t="shared" si="22"/>
        <v>0</v>
      </c>
      <c r="F103" s="18">
        <f t="shared" si="23"/>
        <v>0</v>
      </c>
      <c r="G103" s="18">
        <f t="shared" si="24"/>
        <v>0</v>
      </c>
      <c r="H103" s="41">
        <f t="shared" si="25"/>
        <v>6429.6836528013273</v>
      </c>
      <c r="I103" s="41">
        <f t="shared" si="26"/>
        <v>803.71045660016591</v>
      </c>
      <c r="J103" s="41">
        <f t="shared" si="27"/>
        <v>0</v>
      </c>
      <c r="K103" s="41">
        <f t="shared" si="28"/>
        <v>1549.2699521493066</v>
      </c>
      <c r="L103" s="41">
        <f t="shared" si="29"/>
        <v>4076.7032440518542</v>
      </c>
      <c r="M103" s="41">
        <f t="shared" si="30"/>
        <v>0</v>
      </c>
      <c r="N103" s="41">
        <f t="shared" si="17"/>
        <v>4076.7032440518542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20"/>
        <v>0</v>
      </c>
      <c r="D104" s="18">
        <f t="shared" si="21"/>
        <v>0</v>
      </c>
      <c r="E104" s="18">
        <f t="shared" si="22"/>
        <v>0</v>
      </c>
      <c r="F104" s="18">
        <f t="shared" si="23"/>
        <v>0</v>
      </c>
      <c r="G104" s="18">
        <f t="shared" si="24"/>
        <v>0</v>
      </c>
      <c r="H104" s="41">
        <f t="shared" si="25"/>
        <v>6330.3818894511296</v>
      </c>
      <c r="I104" s="41">
        <f t="shared" si="26"/>
        <v>791.2977361813912</v>
      </c>
      <c r="J104" s="41">
        <f t="shared" si="27"/>
        <v>0</v>
      </c>
      <c r="K104" s="41">
        <f t="shared" si="28"/>
        <v>1552.0458124805605</v>
      </c>
      <c r="L104" s="41">
        <f t="shared" si="29"/>
        <v>3987.0383407891782</v>
      </c>
      <c r="M104" s="41">
        <f t="shared" si="30"/>
        <v>0</v>
      </c>
      <c r="N104" s="41">
        <f t="shared" si="17"/>
        <v>3987.0383407891782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20"/>
        <v>0</v>
      </c>
      <c r="D105" s="18">
        <f t="shared" si="21"/>
        <v>0</v>
      </c>
      <c r="E105" s="18">
        <f t="shared" si="22"/>
        <v>0</v>
      </c>
      <c r="F105" s="18">
        <f t="shared" si="23"/>
        <v>0</v>
      </c>
      <c r="G105" s="18">
        <f t="shared" si="24"/>
        <v>0</v>
      </c>
      <c r="H105" s="41">
        <f t="shared" si="25"/>
        <v>6250.9002488879123</v>
      </c>
      <c r="I105" s="41">
        <f t="shared" si="26"/>
        <v>781.36253111098904</v>
      </c>
      <c r="J105" s="41">
        <f t="shared" si="27"/>
        <v>0</v>
      </c>
      <c r="K105" s="41">
        <f t="shared" si="28"/>
        <v>1557.3912079483923</v>
      </c>
      <c r="L105" s="41">
        <f t="shared" si="29"/>
        <v>3912.1465098285307</v>
      </c>
      <c r="M105" s="41">
        <f>IF(B84&lt;B83,E$24*(1+E$21/365)^(A62-A$49),0)</f>
        <v>0</v>
      </c>
      <c r="N105" s="41">
        <f t="shared" si="17"/>
        <v>3912.1465098285307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20"/>
        <v>0</v>
      </c>
      <c r="D106" s="18">
        <f t="shared" si="21"/>
        <v>0</v>
      </c>
      <c r="E106" s="18">
        <f t="shared" si="22"/>
        <v>0</v>
      </c>
      <c r="F106" s="18">
        <f t="shared" si="23"/>
        <v>0</v>
      </c>
      <c r="G106" s="18">
        <f t="shared" si="24"/>
        <v>0</v>
      </c>
      <c r="H106" s="41">
        <f t="shared" si="25"/>
        <v>155218.42936297538</v>
      </c>
      <c r="I106" s="41">
        <f t="shared" si="26"/>
        <v>19402.303670371923</v>
      </c>
      <c r="J106" s="41">
        <f t="shared" si="27"/>
        <v>0</v>
      </c>
      <c r="K106" s="41">
        <f t="shared" si="28"/>
        <v>20195.489518438713</v>
      </c>
      <c r="L106" s="41">
        <f t="shared" si="29"/>
        <v>115620.63617416476</v>
      </c>
      <c r="M106" s="41">
        <f>IF(B85&lt;B84,E$24*(1+E$21/365)^(A63-A$49),0)</f>
        <v>193.25553099727873</v>
      </c>
      <c r="N106" s="41">
        <f t="shared" si="17"/>
        <v>115427.38064316747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A15" workbookViewId="0">
      <selection activeCell="E31" sqref="E31"/>
    </sheetView>
    <sheetView workbookViewId="1"/>
  </sheetViews>
  <sheetFormatPr defaultColWidth="9.140625" defaultRowHeight="12.75"/>
  <cols>
    <col min="1" max="2" width="9.140625" style="12" customWidth="1"/>
    <col min="3" max="3" width="10.5703125" style="12" customWidth="1"/>
    <col min="4" max="4" width="9.140625" style="12" customWidth="1"/>
    <col min="5" max="5" width="10.140625" style="12" bestFit="1" customWidth="1"/>
    <col min="6" max="6" width="9.140625" style="12" customWidth="1"/>
    <col min="7" max="7" width="8.5703125" style="12" customWidth="1"/>
    <col min="8" max="8" width="10.28515625" style="12" customWidth="1"/>
    <col min="9" max="9" width="9.140625" style="12" customWidth="1"/>
    <col min="10" max="10" width="13" style="12" customWidth="1"/>
    <col min="11" max="11" width="9.7109375" style="12" customWidth="1"/>
    <col min="12" max="12" width="11.140625" style="12" bestFit="1" customWidth="1"/>
    <col min="13" max="13" width="11.28515625" style="12" customWidth="1"/>
    <col min="14" max="14" width="11" style="12" customWidth="1"/>
    <col min="15" max="16" width="12" style="12" customWidth="1"/>
    <col min="17" max="17" width="9.42578125" style="12" bestFit="1" customWidth="1"/>
    <col min="18" max="18" width="10.42578125" style="12" bestFit="1" customWidth="1"/>
    <col min="19" max="20" width="9.28515625" style="12" bestFit="1" customWidth="1"/>
    <col min="21" max="21" width="11" style="12" customWidth="1"/>
    <col min="22" max="22" width="9.42578125" style="12" bestFit="1" customWidth="1"/>
    <col min="23" max="23" width="11.85546875" style="12" bestFit="1" customWidth="1"/>
    <col min="24" max="24" width="10.85546875" style="12" customWidth="1"/>
    <col min="25" max="25" width="10.7109375" style="12" customWidth="1"/>
    <col min="26" max="256" width="9.140625" style="12"/>
    <col min="257" max="258" width="9.140625" style="12" customWidth="1"/>
    <col min="259" max="259" width="10.5703125" style="12" customWidth="1"/>
    <col min="260" max="260" width="9.140625" style="12" customWidth="1"/>
    <col min="261" max="261" width="10.140625" style="12" bestFit="1" customWidth="1"/>
    <col min="262" max="262" width="9.140625" style="12" customWidth="1"/>
    <col min="263" max="263" width="8.5703125" style="12" customWidth="1"/>
    <col min="264" max="264" width="10.28515625" style="12" customWidth="1"/>
    <col min="265" max="265" width="9.140625" style="12" customWidth="1"/>
    <col min="266" max="266" width="13" style="12" customWidth="1"/>
    <col min="267" max="267" width="9.7109375" style="12" customWidth="1"/>
    <col min="268" max="268" width="10.5703125" style="12" bestFit="1" customWidth="1"/>
    <col min="269" max="269" width="11.28515625" style="12" customWidth="1"/>
    <col min="270" max="270" width="11" style="12" customWidth="1"/>
    <col min="271" max="272" width="12" style="12" customWidth="1"/>
    <col min="273" max="273" width="9.42578125" style="12" bestFit="1" customWidth="1"/>
    <col min="274" max="274" width="10.42578125" style="12" bestFit="1" customWidth="1"/>
    <col min="275" max="276" width="9.28515625" style="12" bestFit="1" customWidth="1"/>
    <col min="277" max="277" width="11" style="12" customWidth="1"/>
    <col min="278" max="278" width="9.42578125" style="12" bestFit="1" customWidth="1"/>
    <col min="279" max="279" width="11.85546875" style="12" bestFit="1" customWidth="1"/>
    <col min="280" max="280" width="10.85546875" style="12" customWidth="1"/>
    <col min="281" max="281" width="10.7109375" style="12" customWidth="1"/>
    <col min="282" max="512" width="9.140625" style="12"/>
    <col min="513" max="514" width="9.140625" style="12" customWidth="1"/>
    <col min="515" max="515" width="10.5703125" style="12" customWidth="1"/>
    <col min="516" max="516" width="9.140625" style="12" customWidth="1"/>
    <col min="517" max="517" width="10.140625" style="12" bestFit="1" customWidth="1"/>
    <col min="518" max="518" width="9.140625" style="12" customWidth="1"/>
    <col min="519" max="519" width="8.5703125" style="12" customWidth="1"/>
    <col min="520" max="520" width="10.28515625" style="12" customWidth="1"/>
    <col min="521" max="521" width="9.140625" style="12" customWidth="1"/>
    <col min="522" max="522" width="13" style="12" customWidth="1"/>
    <col min="523" max="523" width="9.7109375" style="12" customWidth="1"/>
    <col min="524" max="524" width="10.5703125" style="12" bestFit="1" customWidth="1"/>
    <col min="525" max="525" width="11.28515625" style="12" customWidth="1"/>
    <col min="526" max="526" width="11" style="12" customWidth="1"/>
    <col min="527" max="528" width="12" style="12" customWidth="1"/>
    <col min="529" max="529" width="9.42578125" style="12" bestFit="1" customWidth="1"/>
    <col min="530" max="530" width="10.42578125" style="12" bestFit="1" customWidth="1"/>
    <col min="531" max="532" width="9.28515625" style="12" bestFit="1" customWidth="1"/>
    <col min="533" max="533" width="11" style="12" customWidth="1"/>
    <col min="534" max="534" width="9.42578125" style="12" bestFit="1" customWidth="1"/>
    <col min="535" max="535" width="11.85546875" style="12" bestFit="1" customWidth="1"/>
    <col min="536" max="536" width="10.85546875" style="12" customWidth="1"/>
    <col min="537" max="537" width="10.7109375" style="12" customWidth="1"/>
    <col min="538" max="768" width="9.140625" style="12"/>
    <col min="769" max="770" width="9.140625" style="12" customWidth="1"/>
    <col min="771" max="771" width="10.5703125" style="12" customWidth="1"/>
    <col min="772" max="772" width="9.140625" style="12" customWidth="1"/>
    <col min="773" max="773" width="10.140625" style="12" bestFit="1" customWidth="1"/>
    <col min="774" max="774" width="9.140625" style="12" customWidth="1"/>
    <col min="775" max="775" width="8.5703125" style="12" customWidth="1"/>
    <col min="776" max="776" width="10.28515625" style="12" customWidth="1"/>
    <col min="777" max="777" width="9.140625" style="12" customWidth="1"/>
    <col min="778" max="778" width="13" style="12" customWidth="1"/>
    <col min="779" max="779" width="9.7109375" style="12" customWidth="1"/>
    <col min="780" max="780" width="10.5703125" style="12" bestFit="1" customWidth="1"/>
    <col min="781" max="781" width="11.28515625" style="12" customWidth="1"/>
    <col min="782" max="782" width="11" style="12" customWidth="1"/>
    <col min="783" max="784" width="12" style="12" customWidth="1"/>
    <col min="785" max="785" width="9.42578125" style="12" bestFit="1" customWidth="1"/>
    <col min="786" max="786" width="10.42578125" style="12" bestFit="1" customWidth="1"/>
    <col min="787" max="788" width="9.28515625" style="12" bestFit="1" customWidth="1"/>
    <col min="789" max="789" width="11" style="12" customWidth="1"/>
    <col min="790" max="790" width="9.42578125" style="12" bestFit="1" customWidth="1"/>
    <col min="791" max="791" width="11.85546875" style="12" bestFit="1" customWidth="1"/>
    <col min="792" max="792" width="10.85546875" style="12" customWidth="1"/>
    <col min="793" max="793" width="10.7109375" style="12" customWidth="1"/>
    <col min="794" max="1024" width="9.140625" style="12"/>
    <col min="1025" max="1026" width="9.140625" style="12" customWidth="1"/>
    <col min="1027" max="1027" width="10.5703125" style="12" customWidth="1"/>
    <col min="1028" max="1028" width="9.140625" style="12" customWidth="1"/>
    <col min="1029" max="1029" width="10.140625" style="12" bestFit="1" customWidth="1"/>
    <col min="1030" max="1030" width="9.140625" style="12" customWidth="1"/>
    <col min="1031" max="1031" width="8.5703125" style="12" customWidth="1"/>
    <col min="1032" max="1032" width="10.28515625" style="12" customWidth="1"/>
    <col min="1033" max="1033" width="9.140625" style="12" customWidth="1"/>
    <col min="1034" max="1034" width="13" style="12" customWidth="1"/>
    <col min="1035" max="1035" width="9.7109375" style="12" customWidth="1"/>
    <col min="1036" max="1036" width="10.5703125" style="12" bestFit="1" customWidth="1"/>
    <col min="1037" max="1037" width="11.28515625" style="12" customWidth="1"/>
    <col min="1038" max="1038" width="11" style="12" customWidth="1"/>
    <col min="1039" max="1040" width="12" style="12" customWidth="1"/>
    <col min="1041" max="1041" width="9.42578125" style="12" bestFit="1" customWidth="1"/>
    <col min="1042" max="1042" width="10.42578125" style="12" bestFit="1" customWidth="1"/>
    <col min="1043" max="1044" width="9.28515625" style="12" bestFit="1" customWidth="1"/>
    <col min="1045" max="1045" width="11" style="12" customWidth="1"/>
    <col min="1046" max="1046" width="9.42578125" style="12" bestFit="1" customWidth="1"/>
    <col min="1047" max="1047" width="11.85546875" style="12" bestFit="1" customWidth="1"/>
    <col min="1048" max="1048" width="10.85546875" style="12" customWidth="1"/>
    <col min="1049" max="1049" width="10.7109375" style="12" customWidth="1"/>
    <col min="1050" max="1280" width="9.140625" style="12"/>
    <col min="1281" max="1282" width="9.140625" style="12" customWidth="1"/>
    <col min="1283" max="1283" width="10.5703125" style="12" customWidth="1"/>
    <col min="1284" max="1284" width="9.140625" style="12" customWidth="1"/>
    <col min="1285" max="1285" width="10.140625" style="12" bestFit="1" customWidth="1"/>
    <col min="1286" max="1286" width="9.140625" style="12" customWidth="1"/>
    <col min="1287" max="1287" width="8.5703125" style="12" customWidth="1"/>
    <col min="1288" max="1288" width="10.28515625" style="12" customWidth="1"/>
    <col min="1289" max="1289" width="9.140625" style="12" customWidth="1"/>
    <col min="1290" max="1290" width="13" style="12" customWidth="1"/>
    <col min="1291" max="1291" width="9.7109375" style="12" customWidth="1"/>
    <col min="1292" max="1292" width="10.5703125" style="12" bestFit="1" customWidth="1"/>
    <col min="1293" max="1293" width="11.28515625" style="12" customWidth="1"/>
    <col min="1294" max="1294" width="11" style="12" customWidth="1"/>
    <col min="1295" max="1296" width="12" style="12" customWidth="1"/>
    <col min="1297" max="1297" width="9.42578125" style="12" bestFit="1" customWidth="1"/>
    <col min="1298" max="1298" width="10.42578125" style="12" bestFit="1" customWidth="1"/>
    <col min="1299" max="1300" width="9.28515625" style="12" bestFit="1" customWidth="1"/>
    <col min="1301" max="1301" width="11" style="12" customWidth="1"/>
    <col min="1302" max="1302" width="9.42578125" style="12" bestFit="1" customWidth="1"/>
    <col min="1303" max="1303" width="11.85546875" style="12" bestFit="1" customWidth="1"/>
    <col min="1304" max="1304" width="10.85546875" style="12" customWidth="1"/>
    <col min="1305" max="1305" width="10.7109375" style="12" customWidth="1"/>
    <col min="1306" max="1536" width="9.140625" style="12"/>
    <col min="1537" max="1538" width="9.140625" style="12" customWidth="1"/>
    <col min="1539" max="1539" width="10.5703125" style="12" customWidth="1"/>
    <col min="1540" max="1540" width="9.140625" style="12" customWidth="1"/>
    <col min="1541" max="1541" width="10.140625" style="12" bestFit="1" customWidth="1"/>
    <col min="1542" max="1542" width="9.140625" style="12" customWidth="1"/>
    <col min="1543" max="1543" width="8.5703125" style="12" customWidth="1"/>
    <col min="1544" max="1544" width="10.28515625" style="12" customWidth="1"/>
    <col min="1545" max="1545" width="9.140625" style="12" customWidth="1"/>
    <col min="1546" max="1546" width="13" style="12" customWidth="1"/>
    <col min="1547" max="1547" width="9.7109375" style="12" customWidth="1"/>
    <col min="1548" max="1548" width="10.5703125" style="12" bestFit="1" customWidth="1"/>
    <col min="1549" max="1549" width="11.28515625" style="12" customWidth="1"/>
    <col min="1550" max="1550" width="11" style="12" customWidth="1"/>
    <col min="1551" max="1552" width="12" style="12" customWidth="1"/>
    <col min="1553" max="1553" width="9.42578125" style="12" bestFit="1" customWidth="1"/>
    <col min="1554" max="1554" width="10.42578125" style="12" bestFit="1" customWidth="1"/>
    <col min="1555" max="1556" width="9.28515625" style="12" bestFit="1" customWidth="1"/>
    <col min="1557" max="1557" width="11" style="12" customWidth="1"/>
    <col min="1558" max="1558" width="9.42578125" style="12" bestFit="1" customWidth="1"/>
    <col min="1559" max="1559" width="11.85546875" style="12" bestFit="1" customWidth="1"/>
    <col min="1560" max="1560" width="10.85546875" style="12" customWidth="1"/>
    <col min="1561" max="1561" width="10.7109375" style="12" customWidth="1"/>
    <col min="1562" max="1792" width="9.140625" style="12"/>
    <col min="1793" max="1794" width="9.140625" style="12" customWidth="1"/>
    <col min="1795" max="1795" width="10.5703125" style="12" customWidth="1"/>
    <col min="1796" max="1796" width="9.140625" style="12" customWidth="1"/>
    <col min="1797" max="1797" width="10.140625" style="12" bestFit="1" customWidth="1"/>
    <col min="1798" max="1798" width="9.140625" style="12" customWidth="1"/>
    <col min="1799" max="1799" width="8.5703125" style="12" customWidth="1"/>
    <col min="1800" max="1800" width="10.28515625" style="12" customWidth="1"/>
    <col min="1801" max="1801" width="9.140625" style="12" customWidth="1"/>
    <col min="1802" max="1802" width="13" style="12" customWidth="1"/>
    <col min="1803" max="1803" width="9.7109375" style="12" customWidth="1"/>
    <col min="1804" max="1804" width="10.5703125" style="12" bestFit="1" customWidth="1"/>
    <col min="1805" max="1805" width="11.28515625" style="12" customWidth="1"/>
    <col min="1806" max="1806" width="11" style="12" customWidth="1"/>
    <col min="1807" max="1808" width="12" style="12" customWidth="1"/>
    <col min="1809" max="1809" width="9.42578125" style="12" bestFit="1" customWidth="1"/>
    <col min="1810" max="1810" width="10.42578125" style="12" bestFit="1" customWidth="1"/>
    <col min="1811" max="1812" width="9.28515625" style="12" bestFit="1" customWidth="1"/>
    <col min="1813" max="1813" width="11" style="12" customWidth="1"/>
    <col min="1814" max="1814" width="9.42578125" style="12" bestFit="1" customWidth="1"/>
    <col min="1815" max="1815" width="11.85546875" style="12" bestFit="1" customWidth="1"/>
    <col min="1816" max="1816" width="10.85546875" style="12" customWidth="1"/>
    <col min="1817" max="1817" width="10.7109375" style="12" customWidth="1"/>
    <col min="1818" max="2048" width="9.140625" style="12"/>
    <col min="2049" max="2050" width="9.140625" style="12" customWidth="1"/>
    <col min="2051" max="2051" width="10.5703125" style="12" customWidth="1"/>
    <col min="2052" max="2052" width="9.140625" style="12" customWidth="1"/>
    <col min="2053" max="2053" width="10.140625" style="12" bestFit="1" customWidth="1"/>
    <col min="2054" max="2054" width="9.140625" style="12" customWidth="1"/>
    <col min="2055" max="2055" width="8.5703125" style="12" customWidth="1"/>
    <col min="2056" max="2056" width="10.28515625" style="12" customWidth="1"/>
    <col min="2057" max="2057" width="9.140625" style="12" customWidth="1"/>
    <col min="2058" max="2058" width="13" style="12" customWidth="1"/>
    <col min="2059" max="2059" width="9.7109375" style="12" customWidth="1"/>
    <col min="2060" max="2060" width="10.5703125" style="12" bestFit="1" customWidth="1"/>
    <col min="2061" max="2061" width="11.28515625" style="12" customWidth="1"/>
    <col min="2062" max="2062" width="11" style="12" customWidth="1"/>
    <col min="2063" max="2064" width="12" style="12" customWidth="1"/>
    <col min="2065" max="2065" width="9.42578125" style="12" bestFit="1" customWidth="1"/>
    <col min="2066" max="2066" width="10.42578125" style="12" bestFit="1" customWidth="1"/>
    <col min="2067" max="2068" width="9.28515625" style="12" bestFit="1" customWidth="1"/>
    <col min="2069" max="2069" width="11" style="12" customWidth="1"/>
    <col min="2070" max="2070" width="9.42578125" style="12" bestFit="1" customWidth="1"/>
    <col min="2071" max="2071" width="11.85546875" style="12" bestFit="1" customWidth="1"/>
    <col min="2072" max="2072" width="10.85546875" style="12" customWidth="1"/>
    <col min="2073" max="2073" width="10.7109375" style="12" customWidth="1"/>
    <col min="2074" max="2304" width="9.140625" style="12"/>
    <col min="2305" max="2306" width="9.140625" style="12" customWidth="1"/>
    <col min="2307" max="2307" width="10.5703125" style="12" customWidth="1"/>
    <col min="2308" max="2308" width="9.140625" style="12" customWidth="1"/>
    <col min="2309" max="2309" width="10.140625" style="12" bestFit="1" customWidth="1"/>
    <col min="2310" max="2310" width="9.140625" style="12" customWidth="1"/>
    <col min="2311" max="2311" width="8.5703125" style="12" customWidth="1"/>
    <col min="2312" max="2312" width="10.28515625" style="12" customWidth="1"/>
    <col min="2313" max="2313" width="9.140625" style="12" customWidth="1"/>
    <col min="2314" max="2314" width="13" style="12" customWidth="1"/>
    <col min="2315" max="2315" width="9.7109375" style="12" customWidth="1"/>
    <col min="2316" max="2316" width="10.5703125" style="12" bestFit="1" customWidth="1"/>
    <col min="2317" max="2317" width="11.28515625" style="12" customWidth="1"/>
    <col min="2318" max="2318" width="11" style="12" customWidth="1"/>
    <col min="2319" max="2320" width="12" style="12" customWidth="1"/>
    <col min="2321" max="2321" width="9.42578125" style="12" bestFit="1" customWidth="1"/>
    <col min="2322" max="2322" width="10.42578125" style="12" bestFit="1" customWidth="1"/>
    <col min="2323" max="2324" width="9.28515625" style="12" bestFit="1" customWidth="1"/>
    <col min="2325" max="2325" width="11" style="12" customWidth="1"/>
    <col min="2326" max="2326" width="9.42578125" style="12" bestFit="1" customWidth="1"/>
    <col min="2327" max="2327" width="11.85546875" style="12" bestFit="1" customWidth="1"/>
    <col min="2328" max="2328" width="10.85546875" style="12" customWidth="1"/>
    <col min="2329" max="2329" width="10.7109375" style="12" customWidth="1"/>
    <col min="2330" max="2560" width="9.140625" style="12"/>
    <col min="2561" max="2562" width="9.140625" style="12" customWidth="1"/>
    <col min="2563" max="2563" width="10.5703125" style="12" customWidth="1"/>
    <col min="2564" max="2564" width="9.140625" style="12" customWidth="1"/>
    <col min="2565" max="2565" width="10.140625" style="12" bestFit="1" customWidth="1"/>
    <col min="2566" max="2566" width="9.140625" style="12" customWidth="1"/>
    <col min="2567" max="2567" width="8.5703125" style="12" customWidth="1"/>
    <col min="2568" max="2568" width="10.28515625" style="12" customWidth="1"/>
    <col min="2569" max="2569" width="9.140625" style="12" customWidth="1"/>
    <col min="2570" max="2570" width="13" style="12" customWidth="1"/>
    <col min="2571" max="2571" width="9.7109375" style="12" customWidth="1"/>
    <col min="2572" max="2572" width="10.5703125" style="12" bestFit="1" customWidth="1"/>
    <col min="2573" max="2573" width="11.28515625" style="12" customWidth="1"/>
    <col min="2574" max="2574" width="11" style="12" customWidth="1"/>
    <col min="2575" max="2576" width="12" style="12" customWidth="1"/>
    <col min="2577" max="2577" width="9.42578125" style="12" bestFit="1" customWidth="1"/>
    <col min="2578" max="2578" width="10.42578125" style="12" bestFit="1" customWidth="1"/>
    <col min="2579" max="2580" width="9.28515625" style="12" bestFit="1" customWidth="1"/>
    <col min="2581" max="2581" width="11" style="12" customWidth="1"/>
    <col min="2582" max="2582" width="9.42578125" style="12" bestFit="1" customWidth="1"/>
    <col min="2583" max="2583" width="11.85546875" style="12" bestFit="1" customWidth="1"/>
    <col min="2584" max="2584" width="10.85546875" style="12" customWidth="1"/>
    <col min="2585" max="2585" width="10.7109375" style="12" customWidth="1"/>
    <col min="2586" max="2816" width="9.140625" style="12"/>
    <col min="2817" max="2818" width="9.140625" style="12" customWidth="1"/>
    <col min="2819" max="2819" width="10.5703125" style="12" customWidth="1"/>
    <col min="2820" max="2820" width="9.140625" style="12" customWidth="1"/>
    <col min="2821" max="2821" width="10.140625" style="12" bestFit="1" customWidth="1"/>
    <col min="2822" max="2822" width="9.140625" style="12" customWidth="1"/>
    <col min="2823" max="2823" width="8.5703125" style="12" customWidth="1"/>
    <col min="2824" max="2824" width="10.28515625" style="12" customWidth="1"/>
    <col min="2825" max="2825" width="9.140625" style="12" customWidth="1"/>
    <col min="2826" max="2826" width="13" style="12" customWidth="1"/>
    <col min="2827" max="2827" width="9.7109375" style="12" customWidth="1"/>
    <col min="2828" max="2828" width="10.5703125" style="12" bestFit="1" customWidth="1"/>
    <col min="2829" max="2829" width="11.28515625" style="12" customWidth="1"/>
    <col min="2830" max="2830" width="11" style="12" customWidth="1"/>
    <col min="2831" max="2832" width="12" style="12" customWidth="1"/>
    <col min="2833" max="2833" width="9.42578125" style="12" bestFit="1" customWidth="1"/>
    <col min="2834" max="2834" width="10.42578125" style="12" bestFit="1" customWidth="1"/>
    <col min="2835" max="2836" width="9.28515625" style="12" bestFit="1" customWidth="1"/>
    <col min="2837" max="2837" width="11" style="12" customWidth="1"/>
    <col min="2838" max="2838" width="9.42578125" style="12" bestFit="1" customWidth="1"/>
    <col min="2839" max="2839" width="11.85546875" style="12" bestFit="1" customWidth="1"/>
    <col min="2840" max="2840" width="10.85546875" style="12" customWidth="1"/>
    <col min="2841" max="2841" width="10.7109375" style="12" customWidth="1"/>
    <col min="2842" max="3072" width="9.140625" style="12"/>
    <col min="3073" max="3074" width="9.140625" style="12" customWidth="1"/>
    <col min="3075" max="3075" width="10.5703125" style="12" customWidth="1"/>
    <col min="3076" max="3076" width="9.140625" style="12" customWidth="1"/>
    <col min="3077" max="3077" width="10.140625" style="12" bestFit="1" customWidth="1"/>
    <col min="3078" max="3078" width="9.140625" style="12" customWidth="1"/>
    <col min="3079" max="3079" width="8.5703125" style="12" customWidth="1"/>
    <col min="3080" max="3080" width="10.28515625" style="12" customWidth="1"/>
    <col min="3081" max="3081" width="9.140625" style="12" customWidth="1"/>
    <col min="3082" max="3082" width="13" style="12" customWidth="1"/>
    <col min="3083" max="3083" width="9.7109375" style="12" customWidth="1"/>
    <col min="3084" max="3084" width="10.5703125" style="12" bestFit="1" customWidth="1"/>
    <col min="3085" max="3085" width="11.28515625" style="12" customWidth="1"/>
    <col min="3086" max="3086" width="11" style="12" customWidth="1"/>
    <col min="3087" max="3088" width="12" style="12" customWidth="1"/>
    <col min="3089" max="3089" width="9.42578125" style="12" bestFit="1" customWidth="1"/>
    <col min="3090" max="3090" width="10.42578125" style="12" bestFit="1" customWidth="1"/>
    <col min="3091" max="3092" width="9.28515625" style="12" bestFit="1" customWidth="1"/>
    <col min="3093" max="3093" width="11" style="12" customWidth="1"/>
    <col min="3094" max="3094" width="9.42578125" style="12" bestFit="1" customWidth="1"/>
    <col min="3095" max="3095" width="11.85546875" style="12" bestFit="1" customWidth="1"/>
    <col min="3096" max="3096" width="10.85546875" style="12" customWidth="1"/>
    <col min="3097" max="3097" width="10.7109375" style="12" customWidth="1"/>
    <col min="3098" max="3328" width="9.140625" style="12"/>
    <col min="3329" max="3330" width="9.140625" style="12" customWidth="1"/>
    <col min="3331" max="3331" width="10.5703125" style="12" customWidth="1"/>
    <col min="3332" max="3332" width="9.140625" style="12" customWidth="1"/>
    <col min="3333" max="3333" width="10.140625" style="12" bestFit="1" customWidth="1"/>
    <col min="3334" max="3334" width="9.140625" style="12" customWidth="1"/>
    <col min="3335" max="3335" width="8.5703125" style="12" customWidth="1"/>
    <col min="3336" max="3336" width="10.28515625" style="12" customWidth="1"/>
    <col min="3337" max="3337" width="9.140625" style="12" customWidth="1"/>
    <col min="3338" max="3338" width="13" style="12" customWidth="1"/>
    <col min="3339" max="3339" width="9.7109375" style="12" customWidth="1"/>
    <col min="3340" max="3340" width="10.5703125" style="12" bestFit="1" customWidth="1"/>
    <col min="3341" max="3341" width="11.28515625" style="12" customWidth="1"/>
    <col min="3342" max="3342" width="11" style="12" customWidth="1"/>
    <col min="3343" max="3344" width="12" style="12" customWidth="1"/>
    <col min="3345" max="3345" width="9.42578125" style="12" bestFit="1" customWidth="1"/>
    <col min="3346" max="3346" width="10.42578125" style="12" bestFit="1" customWidth="1"/>
    <col min="3347" max="3348" width="9.28515625" style="12" bestFit="1" customWidth="1"/>
    <col min="3349" max="3349" width="11" style="12" customWidth="1"/>
    <col min="3350" max="3350" width="9.42578125" style="12" bestFit="1" customWidth="1"/>
    <col min="3351" max="3351" width="11.85546875" style="12" bestFit="1" customWidth="1"/>
    <col min="3352" max="3352" width="10.85546875" style="12" customWidth="1"/>
    <col min="3353" max="3353" width="10.7109375" style="12" customWidth="1"/>
    <col min="3354" max="3584" width="9.140625" style="12"/>
    <col min="3585" max="3586" width="9.140625" style="12" customWidth="1"/>
    <col min="3587" max="3587" width="10.5703125" style="12" customWidth="1"/>
    <col min="3588" max="3588" width="9.140625" style="12" customWidth="1"/>
    <col min="3589" max="3589" width="10.140625" style="12" bestFit="1" customWidth="1"/>
    <col min="3590" max="3590" width="9.140625" style="12" customWidth="1"/>
    <col min="3591" max="3591" width="8.5703125" style="12" customWidth="1"/>
    <col min="3592" max="3592" width="10.28515625" style="12" customWidth="1"/>
    <col min="3593" max="3593" width="9.140625" style="12" customWidth="1"/>
    <col min="3594" max="3594" width="13" style="12" customWidth="1"/>
    <col min="3595" max="3595" width="9.7109375" style="12" customWidth="1"/>
    <col min="3596" max="3596" width="10.5703125" style="12" bestFit="1" customWidth="1"/>
    <col min="3597" max="3597" width="11.28515625" style="12" customWidth="1"/>
    <col min="3598" max="3598" width="11" style="12" customWidth="1"/>
    <col min="3599" max="3600" width="12" style="12" customWidth="1"/>
    <col min="3601" max="3601" width="9.42578125" style="12" bestFit="1" customWidth="1"/>
    <col min="3602" max="3602" width="10.42578125" style="12" bestFit="1" customWidth="1"/>
    <col min="3603" max="3604" width="9.28515625" style="12" bestFit="1" customWidth="1"/>
    <col min="3605" max="3605" width="11" style="12" customWidth="1"/>
    <col min="3606" max="3606" width="9.42578125" style="12" bestFit="1" customWidth="1"/>
    <col min="3607" max="3607" width="11.85546875" style="12" bestFit="1" customWidth="1"/>
    <col min="3608" max="3608" width="10.85546875" style="12" customWidth="1"/>
    <col min="3609" max="3609" width="10.7109375" style="12" customWidth="1"/>
    <col min="3610" max="3840" width="9.140625" style="12"/>
    <col min="3841" max="3842" width="9.140625" style="12" customWidth="1"/>
    <col min="3843" max="3843" width="10.5703125" style="12" customWidth="1"/>
    <col min="3844" max="3844" width="9.140625" style="12" customWidth="1"/>
    <col min="3845" max="3845" width="10.140625" style="12" bestFit="1" customWidth="1"/>
    <col min="3846" max="3846" width="9.140625" style="12" customWidth="1"/>
    <col min="3847" max="3847" width="8.5703125" style="12" customWidth="1"/>
    <col min="3848" max="3848" width="10.28515625" style="12" customWidth="1"/>
    <col min="3849" max="3849" width="9.140625" style="12" customWidth="1"/>
    <col min="3850" max="3850" width="13" style="12" customWidth="1"/>
    <col min="3851" max="3851" width="9.7109375" style="12" customWidth="1"/>
    <col min="3852" max="3852" width="10.5703125" style="12" bestFit="1" customWidth="1"/>
    <col min="3853" max="3853" width="11.28515625" style="12" customWidth="1"/>
    <col min="3854" max="3854" width="11" style="12" customWidth="1"/>
    <col min="3855" max="3856" width="12" style="12" customWidth="1"/>
    <col min="3857" max="3857" width="9.42578125" style="12" bestFit="1" customWidth="1"/>
    <col min="3858" max="3858" width="10.42578125" style="12" bestFit="1" customWidth="1"/>
    <col min="3859" max="3860" width="9.28515625" style="12" bestFit="1" customWidth="1"/>
    <col min="3861" max="3861" width="11" style="12" customWidth="1"/>
    <col min="3862" max="3862" width="9.42578125" style="12" bestFit="1" customWidth="1"/>
    <col min="3863" max="3863" width="11.85546875" style="12" bestFit="1" customWidth="1"/>
    <col min="3864" max="3864" width="10.85546875" style="12" customWidth="1"/>
    <col min="3865" max="3865" width="10.7109375" style="12" customWidth="1"/>
    <col min="3866" max="4096" width="9.140625" style="12"/>
    <col min="4097" max="4098" width="9.140625" style="12" customWidth="1"/>
    <col min="4099" max="4099" width="10.5703125" style="12" customWidth="1"/>
    <col min="4100" max="4100" width="9.140625" style="12" customWidth="1"/>
    <col min="4101" max="4101" width="10.140625" style="12" bestFit="1" customWidth="1"/>
    <col min="4102" max="4102" width="9.140625" style="12" customWidth="1"/>
    <col min="4103" max="4103" width="8.5703125" style="12" customWidth="1"/>
    <col min="4104" max="4104" width="10.28515625" style="12" customWidth="1"/>
    <col min="4105" max="4105" width="9.140625" style="12" customWidth="1"/>
    <col min="4106" max="4106" width="13" style="12" customWidth="1"/>
    <col min="4107" max="4107" width="9.7109375" style="12" customWidth="1"/>
    <col min="4108" max="4108" width="10.5703125" style="12" bestFit="1" customWidth="1"/>
    <col min="4109" max="4109" width="11.28515625" style="12" customWidth="1"/>
    <col min="4110" max="4110" width="11" style="12" customWidth="1"/>
    <col min="4111" max="4112" width="12" style="12" customWidth="1"/>
    <col min="4113" max="4113" width="9.42578125" style="12" bestFit="1" customWidth="1"/>
    <col min="4114" max="4114" width="10.42578125" style="12" bestFit="1" customWidth="1"/>
    <col min="4115" max="4116" width="9.28515625" style="12" bestFit="1" customWidth="1"/>
    <col min="4117" max="4117" width="11" style="12" customWidth="1"/>
    <col min="4118" max="4118" width="9.42578125" style="12" bestFit="1" customWidth="1"/>
    <col min="4119" max="4119" width="11.85546875" style="12" bestFit="1" customWidth="1"/>
    <col min="4120" max="4120" width="10.85546875" style="12" customWidth="1"/>
    <col min="4121" max="4121" width="10.7109375" style="12" customWidth="1"/>
    <col min="4122" max="4352" width="9.140625" style="12"/>
    <col min="4353" max="4354" width="9.140625" style="12" customWidth="1"/>
    <col min="4355" max="4355" width="10.5703125" style="12" customWidth="1"/>
    <col min="4356" max="4356" width="9.140625" style="12" customWidth="1"/>
    <col min="4357" max="4357" width="10.140625" style="12" bestFit="1" customWidth="1"/>
    <col min="4358" max="4358" width="9.140625" style="12" customWidth="1"/>
    <col min="4359" max="4359" width="8.5703125" style="12" customWidth="1"/>
    <col min="4360" max="4360" width="10.28515625" style="12" customWidth="1"/>
    <col min="4361" max="4361" width="9.140625" style="12" customWidth="1"/>
    <col min="4362" max="4362" width="13" style="12" customWidth="1"/>
    <col min="4363" max="4363" width="9.7109375" style="12" customWidth="1"/>
    <col min="4364" max="4364" width="10.5703125" style="12" bestFit="1" customWidth="1"/>
    <col min="4365" max="4365" width="11.28515625" style="12" customWidth="1"/>
    <col min="4366" max="4366" width="11" style="12" customWidth="1"/>
    <col min="4367" max="4368" width="12" style="12" customWidth="1"/>
    <col min="4369" max="4369" width="9.42578125" style="12" bestFit="1" customWidth="1"/>
    <col min="4370" max="4370" width="10.42578125" style="12" bestFit="1" customWidth="1"/>
    <col min="4371" max="4372" width="9.28515625" style="12" bestFit="1" customWidth="1"/>
    <col min="4373" max="4373" width="11" style="12" customWidth="1"/>
    <col min="4374" max="4374" width="9.42578125" style="12" bestFit="1" customWidth="1"/>
    <col min="4375" max="4375" width="11.85546875" style="12" bestFit="1" customWidth="1"/>
    <col min="4376" max="4376" width="10.85546875" style="12" customWidth="1"/>
    <col min="4377" max="4377" width="10.7109375" style="12" customWidth="1"/>
    <col min="4378" max="4608" width="9.140625" style="12"/>
    <col min="4609" max="4610" width="9.140625" style="12" customWidth="1"/>
    <col min="4611" max="4611" width="10.5703125" style="12" customWidth="1"/>
    <col min="4612" max="4612" width="9.140625" style="12" customWidth="1"/>
    <col min="4613" max="4613" width="10.140625" style="12" bestFit="1" customWidth="1"/>
    <col min="4614" max="4614" width="9.140625" style="12" customWidth="1"/>
    <col min="4615" max="4615" width="8.5703125" style="12" customWidth="1"/>
    <col min="4616" max="4616" width="10.28515625" style="12" customWidth="1"/>
    <col min="4617" max="4617" width="9.140625" style="12" customWidth="1"/>
    <col min="4618" max="4618" width="13" style="12" customWidth="1"/>
    <col min="4619" max="4619" width="9.7109375" style="12" customWidth="1"/>
    <col min="4620" max="4620" width="10.5703125" style="12" bestFit="1" customWidth="1"/>
    <col min="4621" max="4621" width="11.28515625" style="12" customWidth="1"/>
    <col min="4622" max="4622" width="11" style="12" customWidth="1"/>
    <col min="4623" max="4624" width="12" style="12" customWidth="1"/>
    <col min="4625" max="4625" width="9.42578125" style="12" bestFit="1" customWidth="1"/>
    <col min="4626" max="4626" width="10.42578125" style="12" bestFit="1" customWidth="1"/>
    <col min="4627" max="4628" width="9.28515625" style="12" bestFit="1" customWidth="1"/>
    <col min="4629" max="4629" width="11" style="12" customWidth="1"/>
    <col min="4630" max="4630" width="9.42578125" style="12" bestFit="1" customWidth="1"/>
    <col min="4631" max="4631" width="11.85546875" style="12" bestFit="1" customWidth="1"/>
    <col min="4632" max="4632" width="10.85546875" style="12" customWidth="1"/>
    <col min="4633" max="4633" width="10.7109375" style="12" customWidth="1"/>
    <col min="4634" max="4864" width="9.140625" style="12"/>
    <col min="4865" max="4866" width="9.140625" style="12" customWidth="1"/>
    <col min="4867" max="4867" width="10.5703125" style="12" customWidth="1"/>
    <col min="4868" max="4868" width="9.140625" style="12" customWidth="1"/>
    <col min="4869" max="4869" width="10.140625" style="12" bestFit="1" customWidth="1"/>
    <col min="4870" max="4870" width="9.140625" style="12" customWidth="1"/>
    <col min="4871" max="4871" width="8.5703125" style="12" customWidth="1"/>
    <col min="4872" max="4872" width="10.28515625" style="12" customWidth="1"/>
    <col min="4873" max="4873" width="9.140625" style="12" customWidth="1"/>
    <col min="4874" max="4874" width="13" style="12" customWidth="1"/>
    <col min="4875" max="4875" width="9.7109375" style="12" customWidth="1"/>
    <col min="4876" max="4876" width="10.5703125" style="12" bestFit="1" customWidth="1"/>
    <col min="4877" max="4877" width="11.28515625" style="12" customWidth="1"/>
    <col min="4878" max="4878" width="11" style="12" customWidth="1"/>
    <col min="4879" max="4880" width="12" style="12" customWidth="1"/>
    <col min="4881" max="4881" width="9.42578125" style="12" bestFit="1" customWidth="1"/>
    <col min="4882" max="4882" width="10.42578125" style="12" bestFit="1" customWidth="1"/>
    <col min="4883" max="4884" width="9.28515625" style="12" bestFit="1" customWidth="1"/>
    <col min="4885" max="4885" width="11" style="12" customWidth="1"/>
    <col min="4886" max="4886" width="9.42578125" style="12" bestFit="1" customWidth="1"/>
    <col min="4887" max="4887" width="11.85546875" style="12" bestFit="1" customWidth="1"/>
    <col min="4888" max="4888" width="10.85546875" style="12" customWidth="1"/>
    <col min="4889" max="4889" width="10.7109375" style="12" customWidth="1"/>
    <col min="4890" max="5120" width="9.140625" style="12"/>
    <col min="5121" max="5122" width="9.140625" style="12" customWidth="1"/>
    <col min="5123" max="5123" width="10.5703125" style="12" customWidth="1"/>
    <col min="5124" max="5124" width="9.140625" style="12" customWidth="1"/>
    <col min="5125" max="5125" width="10.140625" style="12" bestFit="1" customWidth="1"/>
    <col min="5126" max="5126" width="9.140625" style="12" customWidth="1"/>
    <col min="5127" max="5127" width="8.5703125" style="12" customWidth="1"/>
    <col min="5128" max="5128" width="10.28515625" style="12" customWidth="1"/>
    <col min="5129" max="5129" width="9.140625" style="12" customWidth="1"/>
    <col min="5130" max="5130" width="13" style="12" customWidth="1"/>
    <col min="5131" max="5131" width="9.7109375" style="12" customWidth="1"/>
    <col min="5132" max="5132" width="10.5703125" style="12" bestFit="1" customWidth="1"/>
    <col min="5133" max="5133" width="11.28515625" style="12" customWidth="1"/>
    <col min="5134" max="5134" width="11" style="12" customWidth="1"/>
    <col min="5135" max="5136" width="12" style="12" customWidth="1"/>
    <col min="5137" max="5137" width="9.42578125" style="12" bestFit="1" customWidth="1"/>
    <col min="5138" max="5138" width="10.42578125" style="12" bestFit="1" customWidth="1"/>
    <col min="5139" max="5140" width="9.28515625" style="12" bestFit="1" customWidth="1"/>
    <col min="5141" max="5141" width="11" style="12" customWidth="1"/>
    <col min="5142" max="5142" width="9.42578125" style="12" bestFit="1" customWidth="1"/>
    <col min="5143" max="5143" width="11.85546875" style="12" bestFit="1" customWidth="1"/>
    <col min="5144" max="5144" width="10.85546875" style="12" customWidth="1"/>
    <col min="5145" max="5145" width="10.7109375" style="12" customWidth="1"/>
    <col min="5146" max="5376" width="9.140625" style="12"/>
    <col min="5377" max="5378" width="9.140625" style="12" customWidth="1"/>
    <col min="5379" max="5379" width="10.5703125" style="12" customWidth="1"/>
    <col min="5380" max="5380" width="9.140625" style="12" customWidth="1"/>
    <col min="5381" max="5381" width="10.140625" style="12" bestFit="1" customWidth="1"/>
    <col min="5382" max="5382" width="9.140625" style="12" customWidth="1"/>
    <col min="5383" max="5383" width="8.5703125" style="12" customWidth="1"/>
    <col min="5384" max="5384" width="10.28515625" style="12" customWidth="1"/>
    <col min="5385" max="5385" width="9.140625" style="12" customWidth="1"/>
    <col min="5386" max="5386" width="13" style="12" customWidth="1"/>
    <col min="5387" max="5387" width="9.7109375" style="12" customWidth="1"/>
    <col min="5388" max="5388" width="10.5703125" style="12" bestFit="1" customWidth="1"/>
    <col min="5389" max="5389" width="11.28515625" style="12" customWidth="1"/>
    <col min="5390" max="5390" width="11" style="12" customWidth="1"/>
    <col min="5391" max="5392" width="12" style="12" customWidth="1"/>
    <col min="5393" max="5393" width="9.42578125" style="12" bestFit="1" customWidth="1"/>
    <col min="5394" max="5394" width="10.42578125" style="12" bestFit="1" customWidth="1"/>
    <col min="5395" max="5396" width="9.28515625" style="12" bestFit="1" customWidth="1"/>
    <col min="5397" max="5397" width="11" style="12" customWidth="1"/>
    <col min="5398" max="5398" width="9.42578125" style="12" bestFit="1" customWidth="1"/>
    <col min="5399" max="5399" width="11.85546875" style="12" bestFit="1" customWidth="1"/>
    <col min="5400" max="5400" width="10.85546875" style="12" customWidth="1"/>
    <col min="5401" max="5401" width="10.7109375" style="12" customWidth="1"/>
    <col min="5402" max="5632" width="9.140625" style="12"/>
    <col min="5633" max="5634" width="9.140625" style="12" customWidth="1"/>
    <col min="5635" max="5635" width="10.5703125" style="12" customWidth="1"/>
    <col min="5636" max="5636" width="9.140625" style="12" customWidth="1"/>
    <col min="5637" max="5637" width="10.140625" style="12" bestFit="1" customWidth="1"/>
    <col min="5638" max="5638" width="9.140625" style="12" customWidth="1"/>
    <col min="5639" max="5639" width="8.5703125" style="12" customWidth="1"/>
    <col min="5640" max="5640" width="10.28515625" style="12" customWidth="1"/>
    <col min="5641" max="5641" width="9.140625" style="12" customWidth="1"/>
    <col min="5642" max="5642" width="13" style="12" customWidth="1"/>
    <col min="5643" max="5643" width="9.7109375" style="12" customWidth="1"/>
    <col min="5644" max="5644" width="10.5703125" style="12" bestFit="1" customWidth="1"/>
    <col min="5645" max="5645" width="11.28515625" style="12" customWidth="1"/>
    <col min="5646" max="5646" width="11" style="12" customWidth="1"/>
    <col min="5647" max="5648" width="12" style="12" customWidth="1"/>
    <col min="5649" max="5649" width="9.42578125" style="12" bestFit="1" customWidth="1"/>
    <col min="5650" max="5650" width="10.42578125" style="12" bestFit="1" customWidth="1"/>
    <col min="5651" max="5652" width="9.28515625" style="12" bestFit="1" customWidth="1"/>
    <col min="5653" max="5653" width="11" style="12" customWidth="1"/>
    <col min="5654" max="5654" width="9.42578125" style="12" bestFit="1" customWidth="1"/>
    <col min="5655" max="5655" width="11.85546875" style="12" bestFit="1" customWidth="1"/>
    <col min="5656" max="5656" width="10.85546875" style="12" customWidth="1"/>
    <col min="5657" max="5657" width="10.7109375" style="12" customWidth="1"/>
    <col min="5658" max="5888" width="9.140625" style="12"/>
    <col min="5889" max="5890" width="9.140625" style="12" customWidth="1"/>
    <col min="5891" max="5891" width="10.5703125" style="12" customWidth="1"/>
    <col min="5892" max="5892" width="9.140625" style="12" customWidth="1"/>
    <col min="5893" max="5893" width="10.140625" style="12" bestFit="1" customWidth="1"/>
    <col min="5894" max="5894" width="9.140625" style="12" customWidth="1"/>
    <col min="5895" max="5895" width="8.5703125" style="12" customWidth="1"/>
    <col min="5896" max="5896" width="10.28515625" style="12" customWidth="1"/>
    <col min="5897" max="5897" width="9.140625" style="12" customWidth="1"/>
    <col min="5898" max="5898" width="13" style="12" customWidth="1"/>
    <col min="5899" max="5899" width="9.7109375" style="12" customWidth="1"/>
    <col min="5900" max="5900" width="10.5703125" style="12" bestFit="1" customWidth="1"/>
    <col min="5901" max="5901" width="11.28515625" style="12" customWidth="1"/>
    <col min="5902" max="5902" width="11" style="12" customWidth="1"/>
    <col min="5903" max="5904" width="12" style="12" customWidth="1"/>
    <col min="5905" max="5905" width="9.42578125" style="12" bestFit="1" customWidth="1"/>
    <col min="5906" max="5906" width="10.42578125" style="12" bestFit="1" customWidth="1"/>
    <col min="5907" max="5908" width="9.28515625" style="12" bestFit="1" customWidth="1"/>
    <col min="5909" max="5909" width="11" style="12" customWidth="1"/>
    <col min="5910" max="5910" width="9.42578125" style="12" bestFit="1" customWidth="1"/>
    <col min="5911" max="5911" width="11.85546875" style="12" bestFit="1" customWidth="1"/>
    <col min="5912" max="5912" width="10.85546875" style="12" customWidth="1"/>
    <col min="5913" max="5913" width="10.7109375" style="12" customWidth="1"/>
    <col min="5914" max="6144" width="9.140625" style="12"/>
    <col min="6145" max="6146" width="9.140625" style="12" customWidth="1"/>
    <col min="6147" max="6147" width="10.5703125" style="12" customWidth="1"/>
    <col min="6148" max="6148" width="9.140625" style="12" customWidth="1"/>
    <col min="6149" max="6149" width="10.140625" style="12" bestFit="1" customWidth="1"/>
    <col min="6150" max="6150" width="9.140625" style="12" customWidth="1"/>
    <col min="6151" max="6151" width="8.5703125" style="12" customWidth="1"/>
    <col min="6152" max="6152" width="10.28515625" style="12" customWidth="1"/>
    <col min="6153" max="6153" width="9.140625" style="12" customWidth="1"/>
    <col min="6154" max="6154" width="13" style="12" customWidth="1"/>
    <col min="6155" max="6155" width="9.7109375" style="12" customWidth="1"/>
    <col min="6156" max="6156" width="10.5703125" style="12" bestFit="1" customWidth="1"/>
    <col min="6157" max="6157" width="11.28515625" style="12" customWidth="1"/>
    <col min="6158" max="6158" width="11" style="12" customWidth="1"/>
    <col min="6159" max="6160" width="12" style="12" customWidth="1"/>
    <col min="6161" max="6161" width="9.42578125" style="12" bestFit="1" customWidth="1"/>
    <col min="6162" max="6162" width="10.42578125" style="12" bestFit="1" customWidth="1"/>
    <col min="6163" max="6164" width="9.28515625" style="12" bestFit="1" customWidth="1"/>
    <col min="6165" max="6165" width="11" style="12" customWidth="1"/>
    <col min="6166" max="6166" width="9.42578125" style="12" bestFit="1" customWidth="1"/>
    <col min="6167" max="6167" width="11.85546875" style="12" bestFit="1" customWidth="1"/>
    <col min="6168" max="6168" width="10.85546875" style="12" customWidth="1"/>
    <col min="6169" max="6169" width="10.7109375" style="12" customWidth="1"/>
    <col min="6170" max="6400" width="9.140625" style="12"/>
    <col min="6401" max="6402" width="9.140625" style="12" customWidth="1"/>
    <col min="6403" max="6403" width="10.5703125" style="12" customWidth="1"/>
    <col min="6404" max="6404" width="9.140625" style="12" customWidth="1"/>
    <col min="6405" max="6405" width="10.140625" style="12" bestFit="1" customWidth="1"/>
    <col min="6406" max="6406" width="9.140625" style="12" customWidth="1"/>
    <col min="6407" max="6407" width="8.5703125" style="12" customWidth="1"/>
    <col min="6408" max="6408" width="10.28515625" style="12" customWidth="1"/>
    <col min="6409" max="6409" width="9.140625" style="12" customWidth="1"/>
    <col min="6410" max="6410" width="13" style="12" customWidth="1"/>
    <col min="6411" max="6411" width="9.7109375" style="12" customWidth="1"/>
    <col min="6412" max="6412" width="10.5703125" style="12" bestFit="1" customWidth="1"/>
    <col min="6413" max="6413" width="11.28515625" style="12" customWidth="1"/>
    <col min="6414" max="6414" width="11" style="12" customWidth="1"/>
    <col min="6415" max="6416" width="12" style="12" customWidth="1"/>
    <col min="6417" max="6417" width="9.42578125" style="12" bestFit="1" customWidth="1"/>
    <col min="6418" max="6418" width="10.42578125" style="12" bestFit="1" customWidth="1"/>
    <col min="6419" max="6420" width="9.28515625" style="12" bestFit="1" customWidth="1"/>
    <col min="6421" max="6421" width="11" style="12" customWidth="1"/>
    <col min="6422" max="6422" width="9.42578125" style="12" bestFit="1" customWidth="1"/>
    <col min="6423" max="6423" width="11.85546875" style="12" bestFit="1" customWidth="1"/>
    <col min="6424" max="6424" width="10.85546875" style="12" customWidth="1"/>
    <col min="6425" max="6425" width="10.7109375" style="12" customWidth="1"/>
    <col min="6426" max="6656" width="9.140625" style="12"/>
    <col min="6657" max="6658" width="9.140625" style="12" customWidth="1"/>
    <col min="6659" max="6659" width="10.5703125" style="12" customWidth="1"/>
    <col min="6660" max="6660" width="9.140625" style="12" customWidth="1"/>
    <col min="6661" max="6661" width="10.140625" style="12" bestFit="1" customWidth="1"/>
    <col min="6662" max="6662" width="9.140625" style="12" customWidth="1"/>
    <col min="6663" max="6663" width="8.5703125" style="12" customWidth="1"/>
    <col min="6664" max="6664" width="10.28515625" style="12" customWidth="1"/>
    <col min="6665" max="6665" width="9.140625" style="12" customWidth="1"/>
    <col min="6666" max="6666" width="13" style="12" customWidth="1"/>
    <col min="6667" max="6667" width="9.7109375" style="12" customWidth="1"/>
    <col min="6668" max="6668" width="10.5703125" style="12" bestFit="1" customWidth="1"/>
    <col min="6669" max="6669" width="11.28515625" style="12" customWidth="1"/>
    <col min="6670" max="6670" width="11" style="12" customWidth="1"/>
    <col min="6671" max="6672" width="12" style="12" customWidth="1"/>
    <col min="6673" max="6673" width="9.42578125" style="12" bestFit="1" customWidth="1"/>
    <col min="6674" max="6674" width="10.42578125" style="12" bestFit="1" customWidth="1"/>
    <col min="6675" max="6676" width="9.28515625" style="12" bestFit="1" customWidth="1"/>
    <col min="6677" max="6677" width="11" style="12" customWidth="1"/>
    <col min="6678" max="6678" width="9.42578125" style="12" bestFit="1" customWidth="1"/>
    <col min="6679" max="6679" width="11.85546875" style="12" bestFit="1" customWidth="1"/>
    <col min="6680" max="6680" width="10.85546875" style="12" customWidth="1"/>
    <col min="6681" max="6681" width="10.7109375" style="12" customWidth="1"/>
    <col min="6682" max="6912" width="9.140625" style="12"/>
    <col min="6913" max="6914" width="9.140625" style="12" customWidth="1"/>
    <col min="6915" max="6915" width="10.5703125" style="12" customWidth="1"/>
    <col min="6916" max="6916" width="9.140625" style="12" customWidth="1"/>
    <col min="6917" max="6917" width="10.140625" style="12" bestFit="1" customWidth="1"/>
    <col min="6918" max="6918" width="9.140625" style="12" customWidth="1"/>
    <col min="6919" max="6919" width="8.5703125" style="12" customWidth="1"/>
    <col min="6920" max="6920" width="10.28515625" style="12" customWidth="1"/>
    <col min="6921" max="6921" width="9.140625" style="12" customWidth="1"/>
    <col min="6922" max="6922" width="13" style="12" customWidth="1"/>
    <col min="6923" max="6923" width="9.7109375" style="12" customWidth="1"/>
    <col min="6924" max="6924" width="10.5703125" style="12" bestFit="1" customWidth="1"/>
    <col min="6925" max="6925" width="11.28515625" style="12" customWidth="1"/>
    <col min="6926" max="6926" width="11" style="12" customWidth="1"/>
    <col min="6927" max="6928" width="12" style="12" customWidth="1"/>
    <col min="6929" max="6929" width="9.42578125" style="12" bestFit="1" customWidth="1"/>
    <col min="6930" max="6930" width="10.42578125" style="12" bestFit="1" customWidth="1"/>
    <col min="6931" max="6932" width="9.28515625" style="12" bestFit="1" customWidth="1"/>
    <col min="6933" max="6933" width="11" style="12" customWidth="1"/>
    <col min="6934" max="6934" width="9.42578125" style="12" bestFit="1" customWidth="1"/>
    <col min="6935" max="6935" width="11.85546875" style="12" bestFit="1" customWidth="1"/>
    <col min="6936" max="6936" width="10.85546875" style="12" customWidth="1"/>
    <col min="6937" max="6937" width="10.7109375" style="12" customWidth="1"/>
    <col min="6938" max="7168" width="9.140625" style="12"/>
    <col min="7169" max="7170" width="9.140625" style="12" customWidth="1"/>
    <col min="7171" max="7171" width="10.5703125" style="12" customWidth="1"/>
    <col min="7172" max="7172" width="9.140625" style="12" customWidth="1"/>
    <col min="7173" max="7173" width="10.140625" style="12" bestFit="1" customWidth="1"/>
    <col min="7174" max="7174" width="9.140625" style="12" customWidth="1"/>
    <col min="7175" max="7175" width="8.5703125" style="12" customWidth="1"/>
    <col min="7176" max="7176" width="10.28515625" style="12" customWidth="1"/>
    <col min="7177" max="7177" width="9.140625" style="12" customWidth="1"/>
    <col min="7178" max="7178" width="13" style="12" customWidth="1"/>
    <col min="7179" max="7179" width="9.7109375" style="12" customWidth="1"/>
    <col min="7180" max="7180" width="10.5703125" style="12" bestFit="1" customWidth="1"/>
    <col min="7181" max="7181" width="11.28515625" style="12" customWidth="1"/>
    <col min="7182" max="7182" width="11" style="12" customWidth="1"/>
    <col min="7183" max="7184" width="12" style="12" customWidth="1"/>
    <col min="7185" max="7185" width="9.42578125" style="12" bestFit="1" customWidth="1"/>
    <col min="7186" max="7186" width="10.42578125" style="12" bestFit="1" customWidth="1"/>
    <col min="7187" max="7188" width="9.28515625" style="12" bestFit="1" customWidth="1"/>
    <col min="7189" max="7189" width="11" style="12" customWidth="1"/>
    <col min="7190" max="7190" width="9.42578125" style="12" bestFit="1" customWidth="1"/>
    <col min="7191" max="7191" width="11.85546875" style="12" bestFit="1" customWidth="1"/>
    <col min="7192" max="7192" width="10.85546875" style="12" customWidth="1"/>
    <col min="7193" max="7193" width="10.7109375" style="12" customWidth="1"/>
    <col min="7194" max="7424" width="9.140625" style="12"/>
    <col min="7425" max="7426" width="9.140625" style="12" customWidth="1"/>
    <col min="7427" max="7427" width="10.5703125" style="12" customWidth="1"/>
    <col min="7428" max="7428" width="9.140625" style="12" customWidth="1"/>
    <col min="7429" max="7429" width="10.140625" style="12" bestFit="1" customWidth="1"/>
    <col min="7430" max="7430" width="9.140625" style="12" customWidth="1"/>
    <col min="7431" max="7431" width="8.5703125" style="12" customWidth="1"/>
    <col min="7432" max="7432" width="10.28515625" style="12" customWidth="1"/>
    <col min="7433" max="7433" width="9.140625" style="12" customWidth="1"/>
    <col min="7434" max="7434" width="13" style="12" customWidth="1"/>
    <col min="7435" max="7435" width="9.7109375" style="12" customWidth="1"/>
    <col min="7436" max="7436" width="10.5703125" style="12" bestFit="1" customWidth="1"/>
    <col min="7437" max="7437" width="11.28515625" style="12" customWidth="1"/>
    <col min="7438" max="7438" width="11" style="12" customWidth="1"/>
    <col min="7439" max="7440" width="12" style="12" customWidth="1"/>
    <col min="7441" max="7441" width="9.42578125" style="12" bestFit="1" customWidth="1"/>
    <col min="7442" max="7442" width="10.42578125" style="12" bestFit="1" customWidth="1"/>
    <col min="7443" max="7444" width="9.28515625" style="12" bestFit="1" customWidth="1"/>
    <col min="7445" max="7445" width="11" style="12" customWidth="1"/>
    <col min="7446" max="7446" width="9.42578125" style="12" bestFit="1" customWidth="1"/>
    <col min="7447" max="7447" width="11.85546875" style="12" bestFit="1" customWidth="1"/>
    <col min="7448" max="7448" width="10.85546875" style="12" customWidth="1"/>
    <col min="7449" max="7449" width="10.7109375" style="12" customWidth="1"/>
    <col min="7450" max="7680" width="9.140625" style="12"/>
    <col min="7681" max="7682" width="9.140625" style="12" customWidth="1"/>
    <col min="7683" max="7683" width="10.5703125" style="12" customWidth="1"/>
    <col min="7684" max="7684" width="9.140625" style="12" customWidth="1"/>
    <col min="7685" max="7685" width="10.140625" style="12" bestFit="1" customWidth="1"/>
    <col min="7686" max="7686" width="9.140625" style="12" customWidth="1"/>
    <col min="7687" max="7687" width="8.5703125" style="12" customWidth="1"/>
    <col min="7688" max="7688" width="10.28515625" style="12" customWidth="1"/>
    <col min="7689" max="7689" width="9.140625" style="12" customWidth="1"/>
    <col min="7690" max="7690" width="13" style="12" customWidth="1"/>
    <col min="7691" max="7691" width="9.7109375" style="12" customWidth="1"/>
    <col min="7692" max="7692" width="10.5703125" style="12" bestFit="1" customWidth="1"/>
    <col min="7693" max="7693" width="11.28515625" style="12" customWidth="1"/>
    <col min="7694" max="7694" width="11" style="12" customWidth="1"/>
    <col min="7695" max="7696" width="12" style="12" customWidth="1"/>
    <col min="7697" max="7697" width="9.42578125" style="12" bestFit="1" customWidth="1"/>
    <col min="7698" max="7698" width="10.42578125" style="12" bestFit="1" customWidth="1"/>
    <col min="7699" max="7700" width="9.28515625" style="12" bestFit="1" customWidth="1"/>
    <col min="7701" max="7701" width="11" style="12" customWidth="1"/>
    <col min="7702" max="7702" width="9.42578125" style="12" bestFit="1" customWidth="1"/>
    <col min="7703" max="7703" width="11.85546875" style="12" bestFit="1" customWidth="1"/>
    <col min="7704" max="7704" width="10.85546875" style="12" customWidth="1"/>
    <col min="7705" max="7705" width="10.7109375" style="12" customWidth="1"/>
    <col min="7706" max="7936" width="9.140625" style="12"/>
    <col min="7937" max="7938" width="9.140625" style="12" customWidth="1"/>
    <col min="7939" max="7939" width="10.5703125" style="12" customWidth="1"/>
    <col min="7940" max="7940" width="9.140625" style="12" customWidth="1"/>
    <col min="7941" max="7941" width="10.140625" style="12" bestFit="1" customWidth="1"/>
    <col min="7942" max="7942" width="9.140625" style="12" customWidth="1"/>
    <col min="7943" max="7943" width="8.5703125" style="12" customWidth="1"/>
    <col min="7944" max="7944" width="10.28515625" style="12" customWidth="1"/>
    <col min="7945" max="7945" width="9.140625" style="12" customWidth="1"/>
    <col min="7946" max="7946" width="13" style="12" customWidth="1"/>
    <col min="7947" max="7947" width="9.7109375" style="12" customWidth="1"/>
    <col min="7948" max="7948" width="10.5703125" style="12" bestFit="1" customWidth="1"/>
    <col min="7949" max="7949" width="11.28515625" style="12" customWidth="1"/>
    <col min="7950" max="7950" width="11" style="12" customWidth="1"/>
    <col min="7951" max="7952" width="12" style="12" customWidth="1"/>
    <col min="7953" max="7953" width="9.42578125" style="12" bestFit="1" customWidth="1"/>
    <col min="7954" max="7954" width="10.42578125" style="12" bestFit="1" customWidth="1"/>
    <col min="7955" max="7956" width="9.28515625" style="12" bestFit="1" customWidth="1"/>
    <col min="7957" max="7957" width="11" style="12" customWidth="1"/>
    <col min="7958" max="7958" width="9.42578125" style="12" bestFit="1" customWidth="1"/>
    <col min="7959" max="7959" width="11.85546875" style="12" bestFit="1" customWidth="1"/>
    <col min="7960" max="7960" width="10.85546875" style="12" customWidth="1"/>
    <col min="7961" max="7961" width="10.7109375" style="12" customWidth="1"/>
    <col min="7962" max="8192" width="9.140625" style="12"/>
    <col min="8193" max="8194" width="9.140625" style="12" customWidth="1"/>
    <col min="8195" max="8195" width="10.5703125" style="12" customWidth="1"/>
    <col min="8196" max="8196" width="9.140625" style="12" customWidth="1"/>
    <col min="8197" max="8197" width="10.140625" style="12" bestFit="1" customWidth="1"/>
    <col min="8198" max="8198" width="9.140625" style="12" customWidth="1"/>
    <col min="8199" max="8199" width="8.5703125" style="12" customWidth="1"/>
    <col min="8200" max="8200" width="10.28515625" style="12" customWidth="1"/>
    <col min="8201" max="8201" width="9.140625" style="12" customWidth="1"/>
    <col min="8202" max="8202" width="13" style="12" customWidth="1"/>
    <col min="8203" max="8203" width="9.7109375" style="12" customWidth="1"/>
    <col min="8204" max="8204" width="10.5703125" style="12" bestFit="1" customWidth="1"/>
    <col min="8205" max="8205" width="11.28515625" style="12" customWidth="1"/>
    <col min="8206" max="8206" width="11" style="12" customWidth="1"/>
    <col min="8207" max="8208" width="12" style="12" customWidth="1"/>
    <col min="8209" max="8209" width="9.42578125" style="12" bestFit="1" customWidth="1"/>
    <col min="8210" max="8210" width="10.42578125" style="12" bestFit="1" customWidth="1"/>
    <col min="8211" max="8212" width="9.28515625" style="12" bestFit="1" customWidth="1"/>
    <col min="8213" max="8213" width="11" style="12" customWidth="1"/>
    <col min="8214" max="8214" width="9.42578125" style="12" bestFit="1" customWidth="1"/>
    <col min="8215" max="8215" width="11.85546875" style="12" bestFit="1" customWidth="1"/>
    <col min="8216" max="8216" width="10.85546875" style="12" customWidth="1"/>
    <col min="8217" max="8217" width="10.7109375" style="12" customWidth="1"/>
    <col min="8218" max="8448" width="9.140625" style="12"/>
    <col min="8449" max="8450" width="9.140625" style="12" customWidth="1"/>
    <col min="8451" max="8451" width="10.5703125" style="12" customWidth="1"/>
    <col min="8452" max="8452" width="9.140625" style="12" customWidth="1"/>
    <col min="8453" max="8453" width="10.140625" style="12" bestFit="1" customWidth="1"/>
    <col min="8454" max="8454" width="9.140625" style="12" customWidth="1"/>
    <col min="8455" max="8455" width="8.5703125" style="12" customWidth="1"/>
    <col min="8456" max="8456" width="10.28515625" style="12" customWidth="1"/>
    <col min="8457" max="8457" width="9.140625" style="12" customWidth="1"/>
    <col min="8458" max="8458" width="13" style="12" customWidth="1"/>
    <col min="8459" max="8459" width="9.7109375" style="12" customWidth="1"/>
    <col min="8460" max="8460" width="10.5703125" style="12" bestFit="1" customWidth="1"/>
    <col min="8461" max="8461" width="11.28515625" style="12" customWidth="1"/>
    <col min="8462" max="8462" width="11" style="12" customWidth="1"/>
    <col min="8463" max="8464" width="12" style="12" customWidth="1"/>
    <col min="8465" max="8465" width="9.42578125" style="12" bestFit="1" customWidth="1"/>
    <col min="8466" max="8466" width="10.42578125" style="12" bestFit="1" customWidth="1"/>
    <col min="8467" max="8468" width="9.28515625" style="12" bestFit="1" customWidth="1"/>
    <col min="8469" max="8469" width="11" style="12" customWidth="1"/>
    <col min="8470" max="8470" width="9.42578125" style="12" bestFit="1" customWidth="1"/>
    <col min="8471" max="8471" width="11.85546875" style="12" bestFit="1" customWidth="1"/>
    <col min="8472" max="8472" width="10.85546875" style="12" customWidth="1"/>
    <col min="8473" max="8473" width="10.7109375" style="12" customWidth="1"/>
    <col min="8474" max="8704" width="9.140625" style="12"/>
    <col min="8705" max="8706" width="9.140625" style="12" customWidth="1"/>
    <col min="8707" max="8707" width="10.5703125" style="12" customWidth="1"/>
    <col min="8708" max="8708" width="9.140625" style="12" customWidth="1"/>
    <col min="8709" max="8709" width="10.140625" style="12" bestFit="1" customWidth="1"/>
    <col min="8710" max="8710" width="9.140625" style="12" customWidth="1"/>
    <col min="8711" max="8711" width="8.5703125" style="12" customWidth="1"/>
    <col min="8712" max="8712" width="10.28515625" style="12" customWidth="1"/>
    <col min="8713" max="8713" width="9.140625" style="12" customWidth="1"/>
    <col min="8714" max="8714" width="13" style="12" customWidth="1"/>
    <col min="8715" max="8715" width="9.7109375" style="12" customWidth="1"/>
    <col min="8716" max="8716" width="10.5703125" style="12" bestFit="1" customWidth="1"/>
    <col min="8717" max="8717" width="11.28515625" style="12" customWidth="1"/>
    <col min="8718" max="8718" width="11" style="12" customWidth="1"/>
    <col min="8719" max="8720" width="12" style="12" customWidth="1"/>
    <col min="8721" max="8721" width="9.42578125" style="12" bestFit="1" customWidth="1"/>
    <col min="8722" max="8722" width="10.42578125" style="12" bestFit="1" customWidth="1"/>
    <col min="8723" max="8724" width="9.28515625" style="12" bestFit="1" customWidth="1"/>
    <col min="8725" max="8725" width="11" style="12" customWidth="1"/>
    <col min="8726" max="8726" width="9.42578125" style="12" bestFit="1" customWidth="1"/>
    <col min="8727" max="8727" width="11.85546875" style="12" bestFit="1" customWidth="1"/>
    <col min="8728" max="8728" width="10.85546875" style="12" customWidth="1"/>
    <col min="8729" max="8729" width="10.7109375" style="12" customWidth="1"/>
    <col min="8730" max="8960" width="9.140625" style="12"/>
    <col min="8961" max="8962" width="9.140625" style="12" customWidth="1"/>
    <col min="8963" max="8963" width="10.5703125" style="12" customWidth="1"/>
    <col min="8964" max="8964" width="9.140625" style="12" customWidth="1"/>
    <col min="8965" max="8965" width="10.140625" style="12" bestFit="1" customWidth="1"/>
    <col min="8966" max="8966" width="9.140625" style="12" customWidth="1"/>
    <col min="8967" max="8967" width="8.5703125" style="12" customWidth="1"/>
    <col min="8968" max="8968" width="10.28515625" style="12" customWidth="1"/>
    <col min="8969" max="8969" width="9.140625" style="12" customWidth="1"/>
    <col min="8970" max="8970" width="13" style="12" customWidth="1"/>
    <col min="8971" max="8971" width="9.7109375" style="12" customWidth="1"/>
    <col min="8972" max="8972" width="10.5703125" style="12" bestFit="1" customWidth="1"/>
    <col min="8973" max="8973" width="11.28515625" style="12" customWidth="1"/>
    <col min="8974" max="8974" width="11" style="12" customWidth="1"/>
    <col min="8975" max="8976" width="12" style="12" customWidth="1"/>
    <col min="8977" max="8977" width="9.42578125" style="12" bestFit="1" customWidth="1"/>
    <col min="8978" max="8978" width="10.42578125" style="12" bestFit="1" customWidth="1"/>
    <col min="8979" max="8980" width="9.28515625" style="12" bestFit="1" customWidth="1"/>
    <col min="8981" max="8981" width="11" style="12" customWidth="1"/>
    <col min="8982" max="8982" width="9.42578125" style="12" bestFit="1" customWidth="1"/>
    <col min="8983" max="8983" width="11.85546875" style="12" bestFit="1" customWidth="1"/>
    <col min="8984" max="8984" width="10.85546875" style="12" customWidth="1"/>
    <col min="8985" max="8985" width="10.7109375" style="12" customWidth="1"/>
    <col min="8986" max="9216" width="9.140625" style="12"/>
    <col min="9217" max="9218" width="9.140625" style="12" customWidth="1"/>
    <col min="9219" max="9219" width="10.5703125" style="12" customWidth="1"/>
    <col min="9220" max="9220" width="9.140625" style="12" customWidth="1"/>
    <col min="9221" max="9221" width="10.140625" style="12" bestFit="1" customWidth="1"/>
    <col min="9222" max="9222" width="9.140625" style="12" customWidth="1"/>
    <col min="9223" max="9223" width="8.5703125" style="12" customWidth="1"/>
    <col min="9224" max="9224" width="10.28515625" style="12" customWidth="1"/>
    <col min="9225" max="9225" width="9.140625" style="12" customWidth="1"/>
    <col min="9226" max="9226" width="13" style="12" customWidth="1"/>
    <col min="9227" max="9227" width="9.7109375" style="12" customWidth="1"/>
    <col min="9228" max="9228" width="10.5703125" style="12" bestFit="1" customWidth="1"/>
    <col min="9229" max="9229" width="11.28515625" style="12" customWidth="1"/>
    <col min="9230" max="9230" width="11" style="12" customWidth="1"/>
    <col min="9231" max="9232" width="12" style="12" customWidth="1"/>
    <col min="9233" max="9233" width="9.42578125" style="12" bestFit="1" customWidth="1"/>
    <col min="9234" max="9234" width="10.42578125" style="12" bestFit="1" customWidth="1"/>
    <col min="9235" max="9236" width="9.28515625" style="12" bestFit="1" customWidth="1"/>
    <col min="9237" max="9237" width="11" style="12" customWidth="1"/>
    <col min="9238" max="9238" width="9.42578125" style="12" bestFit="1" customWidth="1"/>
    <col min="9239" max="9239" width="11.85546875" style="12" bestFit="1" customWidth="1"/>
    <col min="9240" max="9240" width="10.85546875" style="12" customWidth="1"/>
    <col min="9241" max="9241" width="10.7109375" style="12" customWidth="1"/>
    <col min="9242" max="9472" width="9.140625" style="12"/>
    <col min="9473" max="9474" width="9.140625" style="12" customWidth="1"/>
    <col min="9475" max="9475" width="10.5703125" style="12" customWidth="1"/>
    <col min="9476" max="9476" width="9.140625" style="12" customWidth="1"/>
    <col min="9477" max="9477" width="10.140625" style="12" bestFit="1" customWidth="1"/>
    <col min="9478" max="9478" width="9.140625" style="12" customWidth="1"/>
    <col min="9479" max="9479" width="8.5703125" style="12" customWidth="1"/>
    <col min="9480" max="9480" width="10.28515625" style="12" customWidth="1"/>
    <col min="9481" max="9481" width="9.140625" style="12" customWidth="1"/>
    <col min="9482" max="9482" width="13" style="12" customWidth="1"/>
    <col min="9483" max="9483" width="9.7109375" style="12" customWidth="1"/>
    <col min="9484" max="9484" width="10.5703125" style="12" bestFit="1" customWidth="1"/>
    <col min="9485" max="9485" width="11.28515625" style="12" customWidth="1"/>
    <col min="9486" max="9486" width="11" style="12" customWidth="1"/>
    <col min="9487" max="9488" width="12" style="12" customWidth="1"/>
    <col min="9489" max="9489" width="9.42578125" style="12" bestFit="1" customWidth="1"/>
    <col min="9490" max="9490" width="10.42578125" style="12" bestFit="1" customWidth="1"/>
    <col min="9491" max="9492" width="9.28515625" style="12" bestFit="1" customWidth="1"/>
    <col min="9493" max="9493" width="11" style="12" customWidth="1"/>
    <col min="9494" max="9494" width="9.42578125" style="12" bestFit="1" customWidth="1"/>
    <col min="9495" max="9495" width="11.85546875" style="12" bestFit="1" customWidth="1"/>
    <col min="9496" max="9496" width="10.85546875" style="12" customWidth="1"/>
    <col min="9497" max="9497" width="10.7109375" style="12" customWidth="1"/>
    <col min="9498" max="9728" width="9.140625" style="12"/>
    <col min="9729" max="9730" width="9.140625" style="12" customWidth="1"/>
    <col min="9731" max="9731" width="10.5703125" style="12" customWidth="1"/>
    <col min="9732" max="9732" width="9.140625" style="12" customWidth="1"/>
    <col min="9733" max="9733" width="10.140625" style="12" bestFit="1" customWidth="1"/>
    <col min="9734" max="9734" width="9.140625" style="12" customWidth="1"/>
    <col min="9735" max="9735" width="8.5703125" style="12" customWidth="1"/>
    <col min="9736" max="9736" width="10.28515625" style="12" customWidth="1"/>
    <col min="9737" max="9737" width="9.140625" style="12" customWidth="1"/>
    <col min="9738" max="9738" width="13" style="12" customWidth="1"/>
    <col min="9739" max="9739" width="9.7109375" style="12" customWidth="1"/>
    <col min="9740" max="9740" width="10.5703125" style="12" bestFit="1" customWidth="1"/>
    <col min="9741" max="9741" width="11.28515625" style="12" customWidth="1"/>
    <col min="9742" max="9742" width="11" style="12" customWidth="1"/>
    <col min="9743" max="9744" width="12" style="12" customWidth="1"/>
    <col min="9745" max="9745" width="9.42578125" style="12" bestFit="1" customWidth="1"/>
    <col min="9746" max="9746" width="10.42578125" style="12" bestFit="1" customWidth="1"/>
    <col min="9747" max="9748" width="9.28515625" style="12" bestFit="1" customWidth="1"/>
    <col min="9749" max="9749" width="11" style="12" customWidth="1"/>
    <col min="9750" max="9750" width="9.42578125" style="12" bestFit="1" customWidth="1"/>
    <col min="9751" max="9751" width="11.85546875" style="12" bestFit="1" customWidth="1"/>
    <col min="9752" max="9752" width="10.85546875" style="12" customWidth="1"/>
    <col min="9753" max="9753" width="10.7109375" style="12" customWidth="1"/>
    <col min="9754" max="9984" width="9.140625" style="12"/>
    <col min="9985" max="9986" width="9.140625" style="12" customWidth="1"/>
    <col min="9987" max="9987" width="10.5703125" style="12" customWidth="1"/>
    <col min="9988" max="9988" width="9.140625" style="12" customWidth="1"/>
    <col min="9989" max="9989" width="10.140625" style="12" bestFit="1" customWidth="1"/>
    <col min="9990" max="9990" width="9.140625" style="12" customWidth="1"/>
    <col min="9991" max="9991" width="8.5703125" style="12" customWidth="1"/>
    <col min="9992" max="9992" width="10.28515625" style="12" customWidth="1"/>
    <col min="9993" max="9993" width="9.140625" style="12" customWidth="1"/>
    <col min="9994" max="9994" width="13" style="12" customWidth="1"/>
    <col min="9995" max="9995" width="9.7109375" style="12" customWidth="1"/>
    <col min="9996" max="9996" width="10.5703125" style="12" bestFit="1" customWidth="1"/>
    <col min="9997" max="9997" width="11.28515625" style="12" customWidth="1"/>
    <col min="9998" max="9998" width="11" style="12" customWidth="1"/>
    <col min="9999" max="10000" width="12" style="12" customWidth="1"/>
    <col min="10001" max="10001" width="9.42578125" style="12" bestFit="1" customWidth="1"/>
    <col min="10002" max="10002" width="10.42578125" style="12" bestFit="1" customWidth="1"/>
    <col min="10003" max="10004" width="9.28515625" style="12" bestFit="1" customWidth="1"/>
    <col min="10005" max="10005" width="11" style="12" customWidth="1"/>
    <col min="10006" max="10006" width="9.42578125" style="12" bestFit="1" customWidth="1"/>
    <col min="10007" max="10007" width="11.85546875" style="12" bestFit="1" customWidth="1"/>
    <col min="10008" max="10008" width="10.85546875" style="12" customWidth="1"/>
    <col min="10009" max="10009" width="10.7109375" style="12" customWidth="1"/>
    <col min="10010" max="10240" width="9.140625" style="12"/>
    <col min="10241" max="10242" width="9.140625" style="12" customWidth="1"/>
    <col min="10243" max="10243" width="10.5703125" style="12" customWidth="1"/>
    <col min="10244" max="10244" width="9.140625" style="12" customWidth="1"/>
    <col min="10245" max="10245" width="10.140625" style="12" bestFit="1" customWidth="1"/>
    <col min="10246" max="10246" width="9.140625" style="12" customWidth="1"/>
    <col min="10247" max="10247" width="8.5703125" style="12" customWidth="1"/>
    <col min="10248" max="10248" width="10.28515625" style="12" customWidth="1"/>
    <col min="10249" max="10249" width="9.140625" style="12" customWidth="1"/>
    <col min="10250" max="10250" width="13" style="12" customWidth="1"/>
    <col min="10251" max="10251" width="9.7109375" style="12" customWidth="1"/>
    <col min="10252" max="10252" width="10.5703125" style="12" bestFit="1" customWidth="1"/>
    <col min="10253" max="10253" width="11.28515625" style="12" customWidth="1"/>
    <col min="10254" max="10254" width="11" style="12" customWidth="1"/>
    <col min="10255" max="10256" width="12" style="12" customWidth="1"/>
    <col min="10257" max="10257" width="9.42578125" style="12" bestFit="1" customWidth="1"/>
    <col min="10258" max="10258" width="10.42578125" style="12" bestFit="1" customWidth="1"/>
    <col min="10259" max="10260" width="9.28515625" style="12" bestFit="1" customWidth="1"/>
    <col min="10261" max="10261" width="11" style="12" customWidth="1"/>
    <col min="10262" max="10262" width="9.42578125" style="12" bestFit="1" customWidth="1"/>
    <col min="10263" max="10263" width="11.85546875" style="12" bestFit="1" customWidth="1"/>
    <col min="10264" max="10264" width="10.85546875" style="12" customWidth="1"/>
    <col min="10265" max="10265" width="10.7109375" style="12" customWidth="1"/>
    <col min="10266" max="10496" width="9.140625" style="12"/>
    <col min="10497" max="10498" width="9.140625" style="12" customWidth="1"/>
    <col min="10499" max="10499" width="10.5703125" style="12" customWidth="1"/>
    <col min="10500" max="10500" width="9.140625" style="12" customWidth="1"/>
    <col min="10501" max="10501" width="10.140625" style="12" bestFit="1" customWidth="1"/>
    <col min="10502" max="10502" width="9.140625" style="12" customWidth="1"/>
    <col min="10503" max="10503" width="8.5703125" style="12" customWidth="1"/>
    <col min="10504" max="10504" width="10.28515625" style="12" customWidth="1"/>
    <col min="10505" max="10505" width="9.140625" style="12" customWidth="1"/>
    <col min="10506" max="10506" width="13" style="12" customWidth="1"/>
    <col min="10507" max="10507" width="9.7109375" style="12" customWidth="1"/>
    <col min="10508" max="10508" width="10.5703125" style="12" bestFit="1" customWidth="1"/>
    <col min="10509" max="10509" width="11.28515625" style="12" customWidth="1"/>
    <col min="10510" max="10510" width="11" style="12" customWidth="1"/>
    <col min="10511" max="10512" width="12" style="12" customWidth="1"/>
    <col min="10513" max="10513" width="9.42578125" style="12" bestFit="1" customWidth="1"/>
    <col min="10514" max="10514" width="10.42578125" style="12" bestFit="1" customWidth="1"/>
    <col min="10515" max="10516" width="9.28515625" style="12" bestFit="1" customWidth="1"/>
    <col min="10517" max="10517" width="11" style="12" customWidth="1"/>
    <col min="10518" max="10518" width="9.42578125" style="12" bestFit="1" customWidth="1"/>
    <col min="10519" max="10519" width="11.85546875" style="12" bestFit="1" customWidth="1"/>
    <col min="10520" max="10520" width="10.85546875" style="12" customWidth="1"/>
    <col min="10521" max="10521" width="10.7109375" style="12" customWidth="1"/>
    <col min="10522" max="10752" width="9.140625" style="12"/>
    <col min="10753" max="10754" width="9.140625" style="12" customWidth="1"/>
    <col min="10755" max="10755" width="10.5703125" style="12" customWidth="1"/>
    <col min="10756" max="10756" width="9.140625" style="12" customWidth="1"/>
    <col min="10757" max="10757" width="10.140625" style="12" bestFit="1" customWidth="1"/>
    <col min="10758" max="10758" width="9.140625" style="12" customWidth="1"/>
    <col min="10759" max="10759" width="8.5703125" style="12" customWidth="1"/>
    <col min="10760" max="10760" width="10.28515625" style="12" customWidth="1"/>
    <col min="10761" max="10761" width="9.140625" style="12" customWidth="1"/>
    <col min="10762" max="10762" width="13" style="12" customWidth="1"/>
    <col min="10763" max="10763" width="9.7109375" style="12" customWidth="1"/>
    <col min="10764" max="10764" width="10.5703125" style="12" bestFit="1" customWidth="1"/>
    <col min="10765" max="10765" width="11.28515625" style="12" customWidth="1"/>
    <col min="10766" max="10766" width="11" style="12" customWidth="1"/>
    <col min="10767" max="10768" width="12" style="12" customWidth="1"/>
    <col min="10769" max="10769" width="9.42578125" style="12" bestFit="1" customWidth="1"/>
    <col min="10770" max="10770" width="10.42578125" style="12" bestFit="1" customWidth="1"/>
    <col min="10771" max="10772" width="9.28515625" style="12" bestFit="1" customWidth="1"/>
    <col min="10773" max="10773" width="11" style="12" customWidth="1"/>
    <col min="10774" max="10774" width="9.42578125" style="12" bestFit="1" customWidth="1"/>
    <col min="10775" max="10775" width="11.85546875" style="12" bestFit="1" customWidth="1"/>
    <col min="10776" max="10776" width="10.85546875" style="12" customWidth="1"/>
    <col min="10777" max="10777" width="10.7109375" style="12" customWidth="1"/>
    <col min="10778" max="11008" width="9.140625" style="12"/>
    <col min="11009" max="11010" width="9.140625" style="12" customWidth="1"/>
    <col min="11011" max="11011" width="10.5703125" style="12" customWidth="1"/>
    <col min="11012" max="11012" width="9.140625" style="12" customWidth="1"/>
    <col min="11013" max="11013" width="10.140625" style="12" bestFit="1" customWidth="1"/>
    <col min="11014" max="11014" width="9.140625" style="12" customWidth="1"/>
    <col min="11015" max="11015" width="8.5703125" style="12" customWidth="1"/>
    <col min="11016" max="11016" width="10.28515625" style="12" customWidth="1"/>
    <col min="11017" max="11017" width="9.140625" style="12" customWidth="1"/>
    <col min="11018" max="11018" width="13" style="12" customWidth="1"/>
    <col min="11019" max="11019" width="9.7109375" style="12" customWidth="1"/>
    <col min="11020" max="11020" width="10.5703125" style="12" bestFit="1" customWidth="1"/>
    <col min="11021" max="11021" width="11.28515625" style="12" customWidth="1"/>
    <col min="11022" max="11022" width="11" style="12" customWidth="1"/>
    <col min="11023" max="11024" width="12" style="12" customWidth="1"/>
    <col min="11025" max="11025" width="9.42578125" style="12" bestFit="1" customWidth="1"/>
    <col min="11026" max="11026" width="10.42578125" style="12" bestFit="1" customWidth="1"/>
    <col min="11027" max="11028" width="9.28515625" style="12" bestFit="1" customWidth="1"/>
    <col min="11029" max="11029" width="11" style="12" customWidth="1"/>
    <col min="11030" max="11030" width="9.42578125" style="12" bestFit="1" customWidth="1"/>
    <col min="11031" max="11031" width="11.85546875" style="12" bestFit="1" customWidth="1"/>
    <col min="11032" max="11032" width="10.85546875" style="12" customWidth="1"/>
    <col min="11033" max="11033" width="10.7109375" style="12" customWidth="1"/>
    <col min="11034" max="11264" width="9.140625" style="12"/>
    <col min="11265" max="11266" width="9.140625" style="12" customWidth="1"/>
    <col min="11267" max="11267" width="10.5703125" style="12" customWidth="1"/>
    <col min="11268" max="11268" width="9.140625" style="12" customWidth="1"/>
    <col min="11269" max="11269" width="10.140625" style="12" bestFit="1" customWidth="1"/>
    <col min="11270" max="11270" width="9.140625" style="12" customWidth="1"/>
    <col min="11271" max="11271" width="8.5703125" style="12" customWidth="1"/>
    <col min="11272" max="11272" width="10.28515625" style="12" customWidth="1"/>
    <col min="11273" max="11273" width="9.140625" style="12" customWidth="1"/>
    <col min="11274" max="11274" width="13" style="12" customWidth="1"/>
    <col min="11275" max="11275" width="9.7109375" style="12" customWidth="1"/>
    <col min="11276" max="11276" width="10.5703125" style="12" bestFit="1" customWidth="1"/>
    <col min="11277" max="11277" width="11.28515625" style="12" customWidth="1"/>
    <col min="11278" max="11278" width="11" style="12" customWidth="1"/>
    <col min="11279" max="11280" width="12" style="12" customWidth="1"/>
    <col min="11281" max="11281" width="9.42578125" style="12" bestFit="1" customWidth="1"/>
    <col min="11282" max="11282" width="10.42578125" style="12" bestFit="1" customWidth="1"/>
    <col min="11283" max="11284" width="9.28515625" style="12" bestFit="1" customWidth="1"/>
    <col min="11285" max="11285" width="11" style="12" customWidth="1"/>
    <col min="11286" max="11286" width="9.42578125" style="12" bestFit="1" customWidth="1"/>
    <col min="11287" max="11287" width="11.85546875" style="12" bestFit="1" customWidth="1"/>
    <col min="11288" max="11288" width="10.85546875" style="12" customWidth="1"/>
    <col min="11289" max="11289" width="10.7109375" style="12" customWidth="1"/>
    <col min="11290" max="11520" width="9.140625" style="12"/>
    <col min="11521" max="11522" width="9.140625" style="12" customWidth="1"/>
    <col min="11523" max="11523" width="10.5703125" style="12" customWidth="1"/>
    <col min="11524" max="11524" width="9.140625" style="12" customWidth="1"/>
    <col min="11525" max="11525" width="10.140625" style="12" bestFit="1" customWidth="1"/>
    <col min="11526" max="11526" width="9.140625" style="12" customWidth="1"/>
    <col min="11527" max="11527" width="8.5703125" style="12" customWidth="1"/>
    <col min="11528" max="11528" width="10.28515625" style="12" customWidth="1"/>
    <col min="11529" max="11529" width="9.140625" style="12" customWidth="1"/>
    <col min="11530" max="11530" width="13" style="12" customWidth="1"/>
    <col min="11531" max="11531" width="9.7109375" style="12" customWidth="1"/>
    <col min="11532" max="11532" width="10.5703125" style="12" bestFit="1" customWidth="1"/>
    <col min="11533" max="11533" width="11.28515625" style="12" customWidth="1"/>
    <col min="11534" max="11534" width="11" style="12" customWidth="1"/>
    <col min="11535" max="11536" width="12" style="12" customWidth="1"/>
    <col min="11537" max="11537" width="9.42578125" style="12" bestFit="1" customWidth="1"/>
    <col min="11538" max="11538" width="10.42578125" style="12" bestFit="1" customWidth="1"/>
    <col min="11539" max="11540" width="9.28515625" style="12" bestFit="1" customWidth="1"/>
    <col min="11541" max="11541" width="11" style="12" customWidth="1"/>
    <col min="11542" max="11542" width="9.42578125" style="12" bestFit="1" customWidth="1"/>
    <col min="11543" max="11543" width="11.85546875" style="12" bestFit="1" customWidth="1"/>
    <col min="11544" max="11544" width="10.85546875" style="12" customWidth="1"/>
    <col min="11545" max="11545" width="10.7109375" style="12" customWidth="1"/>
    <col min="11546" max="11776" width="9.140625" style="12"/>
    <col min="11777" max="11778" width="9.140625" style="12" customWidth="1"/>
    <col min="11779" max="11779" width="10.5703125" style="12" customWidth="1"/>
    <col min="11780" max="11780" width="9.140625" style="12" customWidth="1"/>
    <col min="11781" max="11781" width="10.140625" style="12" bestFit="1" customWidth="1"/>
    <col min="11782" max="11782" width="9.140625" style="12" customWidth="1"/>
    <col min="11783" max="11783" width="8.5703125" style="12" customWidth="1"/>
    <col min="11784" max="11784" width="10.28515625" style="12" customWidth="1"/>
    <col min="11785" max="11785" width="9.140625" style="12" customWidth="1"/>
    <col min="11786" max="11786" width="13" style="12" customWidth="1"/>
    <col min="11787" max="11787" width="9.7109375" style="12" customWidth="1"/>
    <col min="11788" max="11788" width="10.5703125" style="12" bestFit="1" customWidth="1"/>
    <col min="11789" max="11789" width="11.28515625" style="12" customWidth="1"/>
    <col min="11790" max="11790" width="11" style="12" customWidth="1"/>
    <col min="11791" max="11792" width="12" style="12" customWidth="1"/>
    <col min="11793" max="11793" width="9.42578125" style="12" bestFit="1" customWidth="1"/>
    <col min="11794" max="11794" width="10.42578125" style="12" bestFit="1" customWidth="1"/>
    <col min="11795" max="11796" width="9.28515625" style="12" bestFit="1" customWidth="1"/>
    <col min="11797" max="11797" width="11" style="12" customWidth="1"/>
    <col min="11798" max="11798" width="9.42578125" style="12" bestFit="1" customWidth="1"/>
    <col min="11799" max="11799" width="11.85546875" style="12" bestFit="1" customWidth="1"/>
    <col min="11800" max="11800" width="10.85546875" style="12" customWidth="1"/>
    <col min="11801" max="11801" width="10.7109375" style="12" customWidth="1"/>
    <col min="11802" max="12032" width="9.140625" style="12"/>
    <col min="12033" max="12034" width="9.140625" style="12" customWidth="1"/>
    <col min="12035" max="12035" width="10.5703125" style="12" customWidth="1"/>
    <col min="12036" max="12036" width="9.140625" style="12" customWidth="1"/>
    <col min="12037" max="12037" width="10.140625" style="12" bestFit="1" customWidth="1"/>
    <col min="12038" max="12038" width="9.140625" style="12" customWidth="1"/>
    <col min="12039" max="12039" width="8.5703125" style="12" customWidth="1"/>
    <col min="12040" max="12040" width="10.28515625" style="12" customWidth="1"/>
    <col min="12041" max="12041" width="9.140625" style="12" customWidth="1"/>
    <col min="12042" max="12042" width="13" style="12" customWidth="1"/>
    <col min="12043" max="12043" width="9.7109375" style="12" customWidth="1"/>
    <col min="12044" max="12044" width="10.5703125" style="12" bestFit="1" customWidth="1"/>
    <col min="12045" max="12045" width="11.28515625" style="12" customWidth="1"/>
    <col min="12046" max="12046" width="11" style="12" customWidth="1"/>
    <col min="12047" max="12048" width="12" style="12" customWidth="1"/>
    <col min="12049" max="12049" width="9.42578125" style="12" bestFit="1" customWidth="1"/>
    <col min="12050" max="12050" width="10.42578125" style="12" bestFit="1" customWidth="1"/>
    <col min="12051" max="12052" width="9.28515625" style="12" bestFit="1" customWidth="1"/>
    <col min="12053" max="12053" width="11" style="12" customWidth="1"/>
    <col min="12054" max="12054" width="9.42578125" style="12" bestFit="1" customWidth="1"/>
    <col min="12055" max="12055" width="11.85546875" style="12" bestFit="1" customWidth="1"/>
    <col min="12056" max="12056" width="10.85546875" style="12" customWidth="1"/>
    <col min="12057" max="12057" width="10.7109375" style="12" customWidth="1"/>
    <col min="12058" max="12288" width="9.140625" style="12"/>
    <col min="12289" max="12290" width="9.140625" style="12" customWidth="1"/>
    <col min="12291" max="12291" width="10.5703125" style="12" customWidth="1"/>
    <col min="12292" max="12292" width="9.140625" style="12" customWidth="1"/>
    <col min="12293" max="12293" width="10.140625" style="12" bestFit="1" customWidth="1"/>
    <col min="12294" max="12294" width="9.140625" style="12" customWidth="1"/>
    <col min="12295" max="12295" width="8.5703125" style="12" customWidth="1"/>
    <col min="12296" max="12296" width="10.28515625" style="12" customWidth="1"/>
    <col min="12297" max="12297" width="9.140625" style="12" customWidth="1"/>
    <col min="12298" max="12298" width="13" style="12" customWidth="1"/>
    <col min="12299" max="12299" width="9.7109375" style="12" customWidth="1"/>
    <col min="12300" max="12300" width="10.5703125" style="12" bestFit="1" customWidth="1"/>
    <col min="12301" max="12301" width="11.28515625" style="12" customWidth="1"/>
    <col min="12302" max="12302" width="11" style="12" customWidth="1"/>
    <col min="12303" max="12304" width="12" style="12" customWidth="1"/>
    <col min="12305" max="12305" width="9.42578125" style="12" bestFit="1" customWidth="1"/>
    <col min="12306" max="12306" width="10.42578125" style="12" bestFit="1" customWidth="1"/>
    <col min="12307" max="12308" width="9.28515625" style="12" bestFit="1" customWidth="1"/>
    <col min="12309" max="12309" width="11" style="12" customWidth="1"/>
    <col min="12310" max="12310" width="9.42578125" style="12" bestFit="1" customWidth="1"/>
    <col min="12311" max="12311" width="11.85546875" style="12" bestFit="1" customWidth="1"/>
    <col min="12312" max="12312" width="10.85546875" style="12" customWidth="1"/>
    <col min="12313" max="12313" width="10.7109375" style="12" customWidth="1"/>
    <col min="12314" max="12544" width="9.140625" style="12"/>
    <col min="12545" max="12546" width="9.140625" style="12" customWidth="1"/>
    <col min="12547" max="12547" width="10.5703125" style="12" customWidth="1"/>
    <col min="12548" max="12548" width="9.140625" style="12" customWidth="1"/>
    <col min="12549" max="12549" width="10.140625" style="12" bestFit="1" customWidth="1"/>
    <col min="12550" max="12550" width="9.140625" style="12" customWidth="1"/>
    <col min="12551" max="12551" width="8.5703125" style="12" customWidth="1"/>
    <col min="12552" max="12552" width="10.28515625" style="12" customWidth="1"/>
    <col min="12553" max="12553" width="9.140625" style="12" customWidth="1"/>
    <col min="12554" max="12554" width="13" style="12" customWidth="1"/>
    <col min="12555" max="12555" width="9.7109375" style="12" customWidth="1"/>
    <col min="12556" max="12556" width="10.5703125" style="12" bestFit="1" customWidth="1"/>
    <col min="12557" max="12557" width="11.28515625" style="12" customWidth="1"/>
    <col min="12558" max="12558" width="11" style="12" customWidth="1"/>
    <col min="12559" max="12560" width="12" style="12" customWidth="1"/>
    <col min="12561" max="12561" width="9.42578125" style="12" bestFit="1" customWidth="1"/>
    <col min="12562" max="12562" width="10.42578125" style="12" bestFit="1" customWidth="1"/>
    <col min="12563" max="12564" width="9.28515625" style="12" bestFit="1" customWidth="1"/>
    <col min="12565" max="12565" width="11" style="12" customWidth="1"/>
    <col min="12566" max="12566" width="9.42578125" style="12" bestFit="1" customWidth="1"/>
    <col min="12567" max="12567" width="11.85546875" style="12" bestFit="1" customWidth="1"/>
    <col min="12568" max="12568" width="10.85546875" style="12" customWidth="1"/>
    <col min="12569" max="12569" width="10.7109375" style="12" customWidth="1"/>
    <col min="12570" max="12800" width="9.140625" style="12"/>
    <col min="12801" max="12802" width="9.140625" style="12" customWidth="1"/>
    <col min="12803" max="12803" width="10.5703125" style="12" customWidth="1"/>
    <col min="12804" max="12804" width="9.140625" style="12" customWidth="1"/>
    <col min="12805" max="12805" width="10.140625" style="12" bestFit="1" customWidth="1"/>
    <col min="12806" max="12806" width="9.140625" style="12" customWidth="1"/>
    <col min="12807" max="12807" width="8.5703125" style="12" customWidth="1"/>
    <col min="12808" max="12808" width="10.28515625" style="12" customWidth="1"/>
    <col min="12809" max="12809" width="9.140625" style="12" customWidth="1"/>
    <col min="12810" max="12810" width="13" style="12" customWidth="1"/>
    <col min="12811" max="12811" width="9.7109375" style="12" customWidth="1"/>
    <col min="12812" max="12812" width="10.5703125" style="12" bestFit="1" customWidth="1"/>
    <col min="12813" max="12813" width="11.28515625" style="12" customWidth="1"/>
    <col min="12814" max="12814" width="11" style="12" customWidth="1"/>
    <col min="12815" max="12816" width="12" style="12" customWidth="1"/>
    <col min="12817" max="12817" width="9.42578125" style="12" bestFit="1" customWidth="1"/>
    <col min="12818" max="12818" width="10.42578125" style="12" bestFit="1" customWidth="1"/>
    <col min="12819" max="12820" width="9.28515625" style="12" bestFit="1" customWidth="1"/>
    <col min="12821" max="12821" width="11" style="12" customWidth="1"/>
    <col min="12822" max="12822" width="9.42578125" style="12" bestFit="1" customWidth="1"/>
    <col min="12823" max="12823" width="11.85546875" style="12" bestFit="1" customWidth="1"/>
    <col min="12824" max="12824" width="10.85546875" style="12" customWidth="1"/>
    <col min="12825" max="12825" width="10.7109375" style="12" customWidth="1"/>
    <col min="12826" max="13056" width="9.140625" style="12"/>
    <col min="13057" max="13058" width="9.140625" style="12" customWidth="1"/>
    <col min="13059" max="13059" width="10.5703125" style="12" customWidth="1"/>
    <col min="13060" max="13060" width="9.140625" style="12" customWidth="1"/>
    <col min="13061" max="13061" width="10.140625" style="12" bestFit="1" customWidth="1"/>
    <col min="13062" max="13062" width="9.140625" style="12" customWidth="1"/>
    <col min="13063" max="13063" width="8.5703125" style="12" customWidth="1"/>
    <col min="13064" max="13064" width="10.28515625" style="12" customWidth="1"/>
    <col min="13065" max="13065" width="9.140625" style="12" customWidth="1"/>
    <col min="13066" max="13066" width="13" style="12" customWidth="1"/>
    <col min="13067" max="13067" width="9.7109375" style="12" customWidth="1"/>
    <col min="13068" max="13068" width="10.5703125" style="12" bestFit="1" customWidth="1"/>
    <col min="13069" max="13069" width="11.28515625" style="12" customWidth="1"/>
    <col min="13070" max="13070" width="11" style="12" customWidth="1"/>
    <col min="13071" max="13072" width="12" style="12" customWidth="1"/>
    <col min="13073" max="13073" width="9.42578125" style="12" bestFit="1" customWidth="1"/>
    <col min="13074" max="13074" width="10.42578125" style="12" bestFit="1" customWidth="1"/>
    <col min="13075" max="13076" width="9.28515625" style="12" bestFit="1" customWidth="1"/>
    <col min="13077" max="13077" width="11" style="12" customWidth="1"/>
    <col min="13078" max="13078" width="9.42578125" style="12" bestFit="1" customWidth="1"/>
    <col min="13079" max="13079" width="11.85546875" style="12" bestFit="1" customWidth="1"/>
    <col min="13080" max="13080" width="10.85546875" style="12" customWidth="1"/>
    <col min="13081" max="13081" width="10.7109375" style="12" customWidth="1"/>
    <col min="13082" max="13312" width="9.140625" style="12"/>
    <col min="13313" max="13314" width="9.140625" style="12" customWidth="1"/>
    <col min="13315" max="13315" width="10.5703125" style="12" customWidth="1"/>
    <col min="13316" max="13316" width="9.140625" style="12" customWidth="1"/>
    <col min="13317" max="13317" width="10.140625" style="12" bestFit="1" customWidth="1"/>
    <col min="13318" max="13318" width="9.140625" style="12" customWidth="1"/>
    <col min="13319" max="13319" width="8.5703125" style="12" customWidth="1"/>
    <col min="13320" max="13320" width="10.28515625" style="12" customWidth="1"/>
    <col min="13321" max="13321" width="9.140625" style="12" customWidth="1"/>
    <col min="13322" max="13322" width="13" style="12" customWidth="1"/>
    <col min="13323" max="13323" width="9.7109375" style="12" customWidth="1"/>
    <col min="13324" max="13324" width="10.5703125" style="12" bestFit="1" customWidth="1"/>
    <col min="13325" max="13325" width="11.28515625" style="12" customWidth="1"/>
    <col min="13326" max="13326" width="11" style="12" customWidth="1"/>
    <col min="13327" max="13328" width="12" style="12" customWidth="1"/>
    <col min="13329" max="13329" width="9.42578125" style="12" bestFit="1" customWidth="1"/>
    <col min="13330" max="13330" width="10.42578125" style="12" bestFit="1" customWidth="1"/>
    <col min="13331" max="13332" width="9.28515625" style="12" bestFit="1" customWidth="1"/>
    <col min="13333" max="13333" width="11" style="12" customWidth="1"/>
    <col min="13334" max="13334" width="9.42578125" style="12" bestFit="1" customWidth="1"/>
    <col min="13335" max="13335" width="11.85546875" style="12" bestFit="1" customWidth="1"/>
    <col min="13336" max="13336" width="10.85546875" style="12" customWidth="1"/>
    <col min="13337" max="13337" width="10.7109375" style="12" customWidth="1"/>
    <col min="13338" max="13568" width="9.140625" style="12"/>
    <col min="13569" max="13570" width="9.140625" style="12" customWidth="1"/>
    <col min="13571" max="13571" width="10.5703125" style="12" customWidth="1"/>
    <col min="13572" max="13572" width="9.140625" style="12" customWidth="1"/>
    <col min="13573" max="13573" width="10.140625" style="12" bestFit="1" customWidth="1"/>
    <col min="13574" max="13574" width="9.140625" style="12" customWidth="1"/>
    <col min="13575" max="13575" width="8.5703125" style="12" customWidth="1"/>
    <col min="13576" max="13576" width="10.28515625" style="12" customWidth="1"/>
    <col min="13577" max="13577" width="9.140625" style="12" customWidth="1"/>
    <col min="13578" max="13578" width="13" style="12" customWidth="1"/>
    <col min="13579" max="13579" width="9.7109375" style="12" customWidth="1"/>
    <col min="13580" max="13580" width="10.5703125" style="12" bestFit="1" customWidth="1"/>
    <col min="13581" max="13581" width="11.28515625" style="12" customWidth="1"/>
    <col min="13582" max="13582" width="11" style="12" customWidth="1"/>
    <col min="13583" max="13584" width="12" style="12" customWidth="1"/>
    <col min="13585" max="13585" width="9.42578125" style="12" bestFit="1" customWidth="1"/>
    <col min="13586" max="13586" width="10.42578125" style="12" bestFit="1" customWidth="1"/>
    <col min="13587" max="13588" width="9.28515625" style="12" bestFit="1" customWidth="1"/>
    <col min="13589" max="13589" width="11" style="12" customWidth="1"/>
    <col min="13590" max="13590" width="9.42578125" style="12" bestFit="1" customWidth="1"/>
    <col min="13591" max="13591" width="11.85546875" style="12" bestFit="1" customWidth="1"/>
    <col min="13592" max="13592" width="10.85546875" style="12" customWidth="1"/>
    <col min="13593" max="13593" width="10.7109375" style="12" customWidth="1"/>
    <col min="13594" max="13824" width="9.140625" style="12"/>
    <col min="13825" max="13826" width="9.140625" style="12" customWidth="1"/>
    <col min="13827" max="13827" width="10.5703125" style="12" customWidth="1"/>
    <col min="13828" max="13828" width="9.140625" style="12" customWidth="1"/>
    <col min="13829" max="13829" width="10.140625" style="12" bestFit="1" customWidth="1"/>
    <col min="13830" max="13830" width="9.140625" style="12" customWidth="1"/>
    <col min="13831" max="13831" width="8.5703125" style="12" customWidth="1"/>
    <col min="13832" max="13832" width="10.28515625" style="12" customWidth="1"/>
    <col min="13833" max="13833" width="9.140625" style="12" customWidth="1"/>
    <col min="13834" max="13834" width="13" style="12" customWidth="1"/>
    <col min="13835" max="13835" width="9.7109375" style="12" customWidth="1"/>
    <col min="13836" max="13836" width="10.5703125" style="12" bestFit="1" customWidth="1"/>
    <col min="13837" max="13837" width="11.28515625" style="12" customWidth="1"/>
    <col min="13838" max="13838" width="11" style="12" customWidth="1"/>
    <col min="13839" max="13840" width="12" style="12" customWidth="1"/>
    <col min="13841" max="13841" width="9.42578125" style="12" bestFit="1" customWidth="1"/>
    <col min="13842" max="13842" width="10.42578125" style="12" bestFit="1" customWidth="1"/>
    <col min="13843" max="13844" width="9.28515625" style="12" bestFit="1" customWidth="1"/>
    <col min="13845" max="13845" width="11" style="12" customWidth="1"/>
    <col min="13846" max="13846" width="9.42578125" style="12" bestFit="1" customWidth="1"/>
    <col min="13847" max="13847" width="11.85546875" style="12" bestFit="1" customWidth="1"/>
    <col min="13848" max="13848" width="10.85546875" style="12" customWidth="1"/>
    <col min="13849" max="13849" width="10.7109375" style="12" customWidth="1"/>
    <col min="13850" max="14080" width="9.140625" style="12"/>
    <col min="14081" max="14082" width="9.140625" style="12" customWidth="1"/>
    <col min="14083" max="14083" width="10.5703125" style="12" customWidth="1"/>
    <col min="14084" max="14084" width="9.140625" style="12" customWidth="1"/>
    <col min="14085" max="14085" width="10.140625" style="12" bestFit="1" customWidth="1"/>
    <col min="14086" max="14086" width="9.140625" style="12" customWidth="1"/>
    <col min="14087" max="14087" width="8.5703125" style="12" customWidth="1"/>
    <col min="14088" max="14088" width="10.28515625" style="12" customWidth="1"/>
    <col min="14089" max="14089" width="9.140625" style="12" customWidth="1"/>
    <col min="14090" max="14090" width="13" style="12" customWidth="1"/>
    <col min="14091" max="14091" width="9.7109375" style="12" customWidth="1"/>
    <col min="14092" max="14092" width="10.5703125" style="12" bestFit="1" customWidth="1"/>
    <col min="14093" max="14093" width="11.28515625" style="12" customWidth="1"/>
    <col min="14094" max="14094" width="11" style="12" customWidth="1"/>
    <col min="14095" max="14096" width="12" style="12" customWidth="1"/>
    <col min="14097" max="14097" width="9.42578125" style="12" bestFit="1" customWidth="1"/>
    <col min="14098" max="14098" width="10.42578125" style="12" bestFit="1" customWidth="1"/>
    <col min="14099" max="14100" width="9.28515625" style="12" bestFit="1" customWidth="1"/>
    <col min="14101" max="14101" width="11" style="12" customWidth="1"/>
    <col min="14102" max="14102" width="9.42578125" style="12" bestFit="1" customWidth="1"/>
    <col min="14103" max="14103" width="11.85546875" style="12" bestFit="1" customWidth="1"/>
    <col min="14104" max="14104" width="10.85546875" style="12" customWidth="1"/>
    <col min="14105" max="14105" width="10.7109375" style="12" customWidth="1"/>
    <col min="14106" max="14336" width="9.140625" style="12"/>
    <col min="14337" max="14338" width="9.140625" style="12" customWidth="1"/>
    <col min="14339" max="14339" width="10.5703125" style="12" customWidth="1"/>
    <col min="14340" max="14340" width="9.140625" style="12" customWidth="1"/>
    <col min="14341" max="14341" width="10.140625" style="12" bestFit="1" customWidth="1"/>
    <col min="14342" max="14342" width="9.140625" style="12" customWidth="1"/>
    <col min="14343" max="14343" width="8.5703125" style="12" customWidth="1"/>
    <col min="14344" max="14344" width="10.28515625" style="12" customWidth="1"/>
    <col min="14345" max="14345" width="9.140625" style="12" customWidth="1"/>
    <col min="14346" max="14346" width="13" style="12" customWidth="1"/>
    <col min="14347" max="14347" width="9.7109375" style="12" customWidth="1"/>
    <col min="14348" max="14348" width="10.5703125" style="12" bestFit="1" customWidth="1"/>
    <col min="14349" max="14349" width="11.28515625" style="12" customWidth="1"/>
    <col min="14350" max="14350" width="11" style="12" customWidth="1"/>
    <col min="14351" max="14352" width="12" style="12" customWidth="1"/>
    <col min="14353" max="14353" width="9.42578125" style="12" bestFit="1" customWidth="1"/>
    <col min="14354" max="14354" width="10.42578125" style="12" bestFit="1" customWidth="1"/>
    <col min="14355" max="14356" width="9.28515625" style="12" bestFit="1" customWidth="1"/>
    <col min="14357" max="14357" width="11" style="12" customWidth="1"/>
    <col min="14358" max="14358" width="9.42578125" style="12" bestFit="1" customWidth="1"/>
    <col min="14359" max="14359" width="11.85546875" style="12" bestFit="1" customWidth="1"/>
    <col min="14360" max="14360" width="10.85546875" style="12" customWidth="1"/>
    <col min="14361" max="14361" width="10.7109375" style="12" customWidth="1"/>
    <col min="14362" max="14592" width="9.140625" style="12"/>
    <col min="14593" max="14594" width="9.140625" style="12" customWidth="1"/>
    <col min="14595" max="14595" width="10.5703125" style="12" customWidth="1"/>
    <col min="14596" max="14596" width="9.140625" style="12" customWidth="1"/>
    <col min="14597" max="14597" width="10.140625" style="12" bestFit="1" customWidth="1"/>
    <col min="14598" max="14598" width="9.140625" style="12" customWidth="1"/>
    <col min="14599" max="14599" width="8.5703125" style="12" customWidth="1"/>
    <col min="14600" max="14600" width="10.28515625" style="12" customWidth="1"/>
    <col min="14601" max="14601" width="9.140625" style="12" customWidth="1"/>
    <col min="14602" max="14602" width="13" style="12" customWidth="1"/>
    <col min="14603" max="14603" width="9.7109375" style="12" customWidth="1"/>
    <col min="14604" max="14604" width="10.5703125" style="12" bestFit="1" customWidth="1"/>
    <col min="14605" max="14605" width="11.28515625" style="12" customWidth="1"/>
    <col min="14606" max="14606" width="11" style="12" customWidth="1"/>
    <col min="14607" max="14608" width="12" style="12" customWidth="1"/>
    <col min="14609" max="14609" width="9.42578125" style="12" bestFit="1" customWidth="1"/>
    <col min="14610" max="14610" width="10.42578125" style="12" bestFit="1" customWidth="1"/>
    <col min="14611" max="14612" width="9.28515625" style="12" bestFit="1" customWidth="1"/>
    <col min="14613" max="14613" width="11" style="12" customWidth="1"/>
    <col min="14614" max="14614" width="9.42578125" style="12" bestFit="1" customWidth="1"/>
    <col min="14615" max="14615" width="11.85546875" style="12" bestFit="1" customWidth="1"/>
    <col min="14616" max="14616" width="10.85546875" style="12" customWidth="1"/>
    <col min="14617" max="14617" width="10.7109375" style="12" customWidth="1"/>
    <col min="14618" max="14848" width="9.140625" style="12"/>
    <col min="14849" max="14850" width="9.140625" style="12" customWidth="1"/>
    <col min="14851" max="14851" width="10.5703125" style="12" customWidth="1"/>
    <col min="14852" max="14852" width="9.140625" style="12" customWidth="1"/>
    <col min="14853" max="14853" width="10.140625" style="12" bestFit="1" customWidth="1"/>
    <col min="14854" max="14854" width="9.140625" style="12" customWidth="1"/>
    <col min="14855" max="14855" width="8.5703125" style="12" customWidth="1"/>
    <col min="14856" max="14856" width="10.28515625" style="12" customWidth="1"/>
    <col min="14857" max="14857" width="9.140625" style="12" customWidth="1"/>
    <col min="14858" max="14858" width="13" style="12" customWidth="1"/>
    <col min="14859" max="14859" width="9.7109375" style="12" customWidth="1"/>
    <col min="14860" max="14860" width="10.5703125" style="12" bestFit="1" customWidth="1"/>
    <col min="14861" max="14861" width="11.28515625" style="12" customWidth="1"/>
    <col min="14862" max="14862" width="11" style="12" customWidth="1"/>
    <col min="14863" max="14864" width="12" style="12" customWidth="1"/>
    <col min="14865" max="14865" width="9.42578125" style="12" bestFit="1" customWidth="1"/>
    <col min="14866" max="14866" width="10.42578125" style="12" bestFit="1" customWidth="1"/>
    <col min="14867" max="14868" width="9.28515625" style="12" bestFit="1" customWidth="1"/>
    <col min="14869" max="14869" width="11" style="12" customWidth="1"/>
    <col min="14870" max="14870" width="9.42578125" style="12" bestFit="1" customWidth="1"/>
    <col min="14871" max="14871" width="11.85546875" style="12" bestFit="1" customWidth="1"/>
    <col min="14872" max="14872" width="10.85546875" style="12" customWidth="1"/>
    <col min="14873" max="14873" width="10.7109375" style="12" customWidth="1"/>
    <col min="14874" max="15104" width="9.140625" style="12"/>
    <col min="15105" max="15106" width="9.140625" style="12" customWidth="1"/>
    <col min="15107" max="15107" width="10.5703125" style="12" customWidth="1"/>
    <col min="15108" max="15108" width="9.140625" style="12" customWidth="1"/>
    <col min="15109" max="15109" width="10.140625" style="12" bestFit="1" customWidth="1"/>
    <col min="15110" max="15110" width="9.140625" style="12" customWidth="1"/>
    <col min="15111" max="15111" width="8.5703125" style="12" customWidth="1"/>
    <col min="15112" max="15112" width="10.28515625" style="12" customWidth="1"/>
    <col min="15113" max="15113" width="9.140625" style="12" customWidth="1"/>
    <col min="15114" max="15114" width="13" style="12" customWidth="1"/>
    <col min="15115" max="15115" width="9.7109375" style="12" customWidth="1"/>
    <col min="15116" max="15116" width="10.5703125" style="12" bestFit="1" customWidth="1"/>
    <col min="15117" max="15117" width="11.28515625" style="12" customWidth="1"/>
    <col min="15118" max="15118" width="11" style="12" customWidth="1"/>
    <col min="15119" max="15120" width="12" style="12" customWidth="1"/>
    <col min="15121" max="15121" width="9.42578125" style="12" bestFit="1" customWidth="1"/>
    <col min="15122" max="15122" width="10.42578125" style="12" bestFit="1" customWidth="1"/>
    <col min="15123" max="15124" width="9.28515625" style="12" bestFit="1" customWidth="1"/>
    <col min="15125" max="15125" width="11" style="12" customWidth="1"/>
    <col min="15126" max="15126" width="9.42578125" style="12" bestFit="1" customWidth="1"/>
    <col min="15127" max="15127" width="11.85546875" style="12" bestFit="1" customWidth="1"/>
    <col min="15128" max="15128" width="10.85546875" style="12" customWidth="1"/>
    <col min="15129" max="15129" width="10.7109375" style="12" customWidth="1"/>
    <col min="15130" max="15360" width="9.140625" style="12"/>
    <col min="15361" max="15362" width="9.140625" style="12" customWidth="1"/>
    <col min="15363" max="15363" width="10.5703125" style="12" customWidth="1"/>
    <col min="15364" max="15364" width="9.140625" style="12" customWidth="1"/>
    <col min="15365" max="15365" width="10.140625" style="12" bestFit="1" customWidth="1"/>
    <col min="15366" max="15366" width="9.140625" style="12" customWidth="1"/>
    <col min="15367" max="15367" width="8.5703125" style="12" customWidth="1"/>
    <col min="15368" max="15368" width="10.28515625" style="12" customWidth="1"/>
    <col min="15369" max="15369" width="9.140625" style="12" customWidth="1"/>
    <col min="15370" max="15370" width="13" style="12" customWidth="1"/>
    <col min="15371" max="15371" width="9.7109375" style="12" customWidth="1"/>
    <col min="15372" max="15372" width="10.5703125" style="12" bestFit="1" customWidth="1"/>
    <col min="15373" max="15373" width="11.28515625" style="12" customWidth="1"/>
    <col min="15374" max="15374" width="11" style="12" customWidth="1"/>
    <col min="15375" max="15376" width="12" style="12" customWidth="1"/>
    <col min="15377" max="15377" width="9.42578125" style="12" bestFit="1" customWidth="1"/>
    <col min="15378" max="15378" width="10.42578125" style="12" bestFit="1" customWidth="1"/>
    <col min="15379" max="15380" width="9.28515625" style="12" bestFit="1" customWidth="1"/>
    <col min="15381" max="15381" width="11" style="12" customWidth="1"/>
    <col min="15382" max="15382" width="9.42578125" style="12" bestFit="1" customWidth="1"/>
    <col min="15383" max="15383" width="11.85546875" style="12" bestFit="1" customWidth="1"/>
    <col min="15384" max="15384" width="10.85546875" style="12" customWidth="1"/>
    <col min="15385" max="15385" width="10.7109375" style="12" customWidth="1"/>
    <col min="15386" max="15616" width="9.140625" style="12"/>
    <col min="15617" max="15618" width="9.140625" style="12" customWidth="1"/>
    <col min="15619" max="15619" width="10.5703125" style="12" customWidth="1"/>
    <col min="15620" max="15620" width="9.140625" style="12" customWidth="1"/>
    <col min="15621" max="15621" width="10.140625" style="12" bestFit="1" customWidth="1"/>
    <col min="15622" max="15622" width="9.140625" style="12" customWidth="1"/>
    <col min="15623" max="15623" width="8.5703125" style="12" customWidth="1"/>
    <col min="15624" max="15624" width="10.28515625" style="12" customWidth="1"/>
    <col min="15625" max="15625" width="9.140625" style="12" customWidth="1"/>
    <col min="15626" max="15626" width="13" style="12" customWidth="1"/>
    <col min="15627" max="15627" width="9.7109375" style="12" customWidth="1"/>
    <col min="15628" max="15628" width="10.5703125" style="12" bestFit="1" customWidth="1"/>
    <col min="15629" max="15629" width="11.28515625" style="12" customWidth="1"/>
    <col min="15630" max="15630" width="11" style="12" customWidth="1"/>
    <col min="15631" max="15632" width="12" style="12" customWidth="1"/>
    <col min="15633" max="15633" width="9.42578125" style="12" bestFit="1" customWidth="1"/>
    <col min="15634" max="15634" width="10.42578125" style="12" bestFit="1" customWidth="1"/>
    <col min="15635" max="15636" width="9.28515625" style="12" bestFit="1" customWidth="1"/>
    <col min="15637" max="15637" width="11" style="12" customWidth="1"/>
    <col min="15638" max="15638" width="9.42578125" style="12" bestFit="1" customWidth="1"/>
    <col min="15639" max="15639" width="11.85546875" style="12" bestFit="1" customWidth="1"/>
    <col min="15640" max="15640" width="10.85546875" style="12" customWidth="1"/>
    <col min="15641" max="15641" width="10.7109375" style="12" customWidth="1"/>
    <col min="15642" max="15872" width="9.140625" style="12"/>
    <col min="15873" max="15874" width="9.140625" style="12" customWidth="1"/>
    <col min="15875" max="15875" width="10.5703125" style="12" customWidth="1"/>
    <col min="15876" max="15876" width="9.140625" style="12" customWidth="1"/>
    <col min="15877" max="15877" width="10.140625" style="12" bestFit="1" customWidth="1"/>
    <col min="15878" max="15878" width="9.140625" style="12" customWidth="1"/>
    <col min="15879" max="15879" width="8.5703125" style="12" customWidth="1"/>
    <col min="15880" max="15880" width="10.28515625" style="12" customWidth="1"/>
    <col min="15881" max="15881" width="9.140625" style="12" customWidth="1"/>
    <col min="15882" max="15882" width="13" style="12" customWidth="1"/>
    <col min="15883" max="15883" width="9.7109375" style="12" customWidth="1"/>
    <col min="15884" max="15884" width="10.5703125" style="12" bestFit="1" customWidth="1"/>
    <col min="15885" max="15885" width="11.28515625" style="12" customWidth="1"/>
    <col min="15886" max="15886" width="11" style="12" customWidth="1"/>
    <col min="15887" max="15888" width="12" style="12" customWidth="1"/>
    <col min="15889" max="15889" width="9.42578125" style="12" bestFit="1" customWidth="1"/>
    <col min="15890" max="15890" width="10.42578125" style="12" bestFit="1" customWidth="1"/>
    <col min="15891" max="15892" width="9.28515625" style="12" bestFit="1" customWidth="1"/>
    <col min="15893" max="15893" width="11" style="12" customWidth="1"/>
    <col min="15894" max="15894" width="9.42578125" style="12" bestFit="1" customWidth="1"/>
    <col min="15895" max="15895" width="11.85546875" style="12" bestFit="1" customWidth="1"/>
    <col min="15896" max="15896" width="10.85546875" style="12" customWidth="1"/>
    <col min="15897" max="15897" width="10.7109375" style="12" customWidth="1"/>
    <col min="15898" max="16128" width="9.140625" style="12"/>
    <col min="16129" max="16130" width="9.140625" style="12" customWidth="1"/>
    <col min="16131" max="16131" width="10.5703125" style="12" customWidth="1"/>
    <col min="16132" max="16132" width="9.140625" style="12" customWidth="1"/>
    <col min="16133" max="16133" width="10.140625" style="12" bestFit="1" customWidth="1"/>
    <col min="16134" max="16134" width="9.140625" style="12" customWidth="1"/>
    <col min="16135" max="16135" width="8.5703125" style="12" customWidth="1"/>
    <col min="16136" max="16136" width="10.28515625" style="12" customWidth="1"/>
    <col min="16137" max="16137" width="9.140625" style="12" customWidth="1"/>
    <col min="16138" max="16138" width="13" style="12" customWidth="1"/>
    <col min="16139" max="16139" width="9.7109375" style="12" customWidth="1"/>
    <col min="16140" max="16140" width="10.5703125" style="12" bestFit="1" customWidth="1"/>
    <col min="16141" max="16141" width="11.28515625" style="12" customWidth="1"/>
    <col min="16142" max="16142" width="11" style="12" customWidth="1"/>
    <col min="16143" max="16144" width="12" style="12" customWidth="1"/>
    <col min="16145" max="16145" width="9.42578125" style="12" bestFit="1" customWidth="1"/>
    <col min="16146" max="16146" width="10.42578125" style="12" bestFit="1" customWidth="1"/>
    <col min="16147" max="16148" width="9.28515625" style="12" bestFit="1" customWidth="1"/>
    <col min="16149" max="16149" width="11" style="12" customWidth="1"/>
    <col min="16150" max="16150" width="9.42578125" style="12" bestFit="1" customWidth="1"/>
    <col min="16151" max="16151" width="11.85546875" style="12" bestFit="1" customWidth="1"/>
    <col min="16152" max="16152" width="10.85546875" style="12" customWidth="1"/>
    <col min="16153" max="16153" width="10.7109375" style="12" customWidth="1"/>
    <col min="16154" max="16384" width="9.140625" style="12"/>
  </cols>
  <sheetData>
    <row r="1" spans="1:17" ht="15.75">
      <c r="A1" s="13" t="s">
        <v>198</v>
      </c>
    </row>
    <row r="2" spans="1:17" ht="15.75">
      <c r="A2" s="13" t="s">
        <v>241</v>
      </c>
    </row>
    <row r="3" spans="1:17" ht="15.75">
      <c r="A3" s="13"/>
    </row>
    <row r="4" spans="1:17" ht="15.75">
      <c r="A4" s="14" t="s">
        <v>183</v>
      </c>
      <c r="B4" s="14"/>
      <c r="E4" s="12">
        <f>Devonian!I49</f>
        <v>400.15208907254356</v>
      </c>
      <c r="F4" s="14" t="s">
        <v>96</v>
      </c>
      <c r="G4" s="15"/>
    </row>
    <row r="5" spans="1:17" ht="15.75">
      <c r="A5" s="14" t="s">
        <v>184</v>
      </c>
      <c r="B5" s="14"/>
      <c r="E5" s="16">
        <f>Devonian!I50</f>
        <v>5.1399130926765409E-2</v>
      </c>
      <c r="F5" s="17" t="s">
        <v>74</v>
      </c>
    </row>
    <row r="6" spans="1:17">
      <c r="A6" s="14" t="s">
        <v>97</v>
      </c>
      <c r="B6" s="14"/>
      <c r="E6" s="12">
        <v>0</v>
      </c>
      <c r="F6" s="14" t="s">
        <v>98</v>
      </c>
    </row>
    <row r="7" spans="1:17" ht="15.75">
      <c r="A7" s="14" t="s">
        <v>99</v>
      </c>
      <c r="B7" s="14"/>
      <c r="E7" s="15">
        <f>Devonian!I51</f>
        <v>38.828267546790428</v>
      </c>
      <c r="F7" s="14" t="s">
        <v>96</v>
      </c>
    </row>
    <row r="8" spans="1:17" ht="14.25">
      <c r="A8" s="14" t="s">
        <v>100</v>
      </c>
      <c r="B8" s="14"/>
      <c r="E8" s="18">
        <v>0</v>
      </c>
      <c r="F8" s="14" t="s">
        <v>101</v>
      </c>
      <c r="G8" s="19">
        <f>E8/0.02832784/6.2897</f>
        <v>0</v>
      </c>
      <c r="H8" s="14" t="s">
        <v>102</v>
      </c>
    </row>
    <row r="9" spans="1:17" ht="14.25">
      <c r="A9" s="14" t="s">
        <v>103</v>
      </c>
      <c r="B9" s="14"/>
      <c r="E9" s="15">
        <v>0</v>
      </c>
      <c r="F9" s="14" t="s">
        <v>104</v>
      </c>
      <c r="G9" s="20">
        <f>E9*6.2897*0.02832784</f>
        <v>0</v>
      </c>
      <c r="H9" s="14" t="s">
        <v>105</v>
      </c>
    </row>
    <row r="10" spans="1:17">
      <c r="A10" s="14" t="s">
        <v>106</v>
      </c>
      <c r="B10" s="14"/>
      <c r="E10" s="12">
        <f>Devonian!G44</f>
        <v>16.006083562901743</v>
      </c>
      <c r="F10" s="14"/>
    </row>
    <row r="11" spans="1:17">
      <c r="A11" s="14" t="s">
        <v>189</v>
      </c>
      <c r="B11" s="14"/>
      <c r="E11" s="21">
        <v>1</v>
      </c>
      <c r="F11" s="14"/>
    </row>
    <row r="12" spans="1:17" ht="15.75">
      <c r="A12" s="13"/>
    </row>
    <row r="13" spans="1:17">
      <c r="A13" s="12" t="s">
        <v>107</v>
      </c>
      <c r="E13" s="14"/>
      <c r="Q13" s="14"/>
    </row>
    <row r="14" spans="1:17">
      <c r="B14" s="14" t="s">
        <v>109</v>
      </c>
      <c r="E14" s="41">
        <v>0</v>
      </c>
      <c r="F14" s="17" t="s">
        <v>110</v>
      </c>
      <c r="Q14" s="14"/>
    </row>
    <row r="15" spans="1:17">
      <c r="B15" s="14"/>
      <c r="E15" s="41">
        <v>0</v>
      </c>
      <c r="F15" s="17" t="s">
        <v>111</v>
      </c>
      <c r="Q15" s="14"/>
    </row>
    <row r="16" spans="1:17">
      <c r="B16" s="14" t="s">
        <v>112</v>
      </c>
      <c r="E16" s="41">
        <v>0</v>
      </c>
      <c r="F16" s="23" t="s">
        <v>190</v>
      </c>
      <c r="G16" s="23"/>
      <c r="H16" s="23"/>
    </row>
    <row r="17" spans="1:21">
      <c r="B17" s="12" t="s">
        <v>114</v>
      </c>
      <c r="E17" s="42">
        <v>0</v>
      </c>
      <c r="F17" s="17" t="s">
        <v>110</v>
      </c>
      <c r="G17" s="23"/>
      <c r="H17" s="23"/>
      <c r="R17" s="24"/>
      <c r="U17" s="25"/>
    </row>
    <row r="18" spans="1:21">
      <c r="E18" s="42">
        <v>0</v>
      </c>
      <c r="F18" s="17" t="s">
        <v>111</v>
      </c>
      <c r="G18" s="23"/>
      <c r="H18" s="23"/>
      <c r="R18" s="24"/>
      <c r="U18" s="25"/>
    </row>
    <row r="19" spans="1:21">
      <c r="B19" s="14" t="s">
        <v>116</v>
      </c>
      <c r="E19" s="41">
        <f>Devonian!I57</f>
        <v>60</v>
      </c>
      <c r="F19" s="23" t="s">
        <v>188</v>
      </c>
      <c r="G19" s="23"/>
      <c r="H19" s="23"/>
      <c r="R19" s="24"/>
      <c r="U19" s="25"/>
    </row>
    <row r="20" spans="1:21">
      <c r="B20" s="12" t="s">
        <v>118</v>
      </c>
      <c r="E20" s="42">
        <f>Devonian!I56</f>
        <v>10</v>
      </c>
      <c r="F20" s="17" t="s">
        <v>110</v>
      </c>
      <c r="G20" s="23"/>
      <c r="H20" s="23"/>
      <c r="R20" s="24"/>
      <c r="U20" s="25"/>
    </row>
    <row r="21" spans="1:21">
      <c r="B21" s="12" t="s">
        <v>120</v>
      </c>
      <c r="E21" s="26">
        <v>0.02</v>
      </c>
      <c r="F21" s="23" t="s">
        <v>74</v>
      </c>
      <c r="G21" s="23"/>
      <c r="H21" s="23"/>
      <c r="R21" s="24"/>
      <c r="U21" s="25"/>
    </row>
    <row r="22" spans="1:21">
      <c r="A22" s="12" t="s">
        <v>122</v>
      </c>
      <c r="R22" s="24"/>
      <c r="U22" s="25"/>
    </row>
    <row r="23" spans="1:21">
      <c r="B23" s="12" t="s">
        <v>194</v>
      </c>
      <c r="E23" s="41">
        <f>Devonian!I47</f>
        <v>10519.808310376491</v>
      </c>
      <c r="F23" s="12" t="s">
        <v>195</v>
      </c>
      <c r="R23" s="24"/>
      <c r="U23" s="25"/>
    </row>
    <row r="24" spans="1:21">
      <c r="B24" s="12" t="s">
        <v>193</v>
      </c>
      <c r="E24" s="41">
        <f>Devonian!I58*Devonian!G45+Devonian!I59*Devonian!G44+Devonian!I60</f>
        <v>626.21900826446279</v>
      </c>
      <c r="F24" s="12" t="s">
        <v>196</v>
      </c>
    </row>
    <row r="26" spans="1:21">
      <c r="A26" s="14" t="s">
        <v>124</v>
      </c>
      <c r="E26" s="16">
        <v>0.125</v>
      </c>
      <c r="G26" s="27"/>
      <c r="I26" s="21"/>
      <c r="K26" s="26"/>
      <c r="R26" s="24"/>
      <c r="U26" s="25"/>
    </row>
    <row r="27" spans="1:21">
      <c r="R27" s="24"/>
      <c r="U27" s="25"/>
    </row>
    <row r="28" spans="1:21">
      <c r="A28" s="12" t="s">
        <v>125</v>
      </c>
    </row>
    <row r="29" spans="1:21">
      <c r="C29" s="28" t="s">
        <v>126</v>
      </c>
      <c r="E29" s="12" t="s">
        <v>515</v>
      </c>
    </row>
    <row r="30" spans="1:21">
      <c r="C30" s="28" t="s">
        <v>127</v>
      </c>
    </row>
    <row r="31" spans="1:21">
      <c r="A31" s="26">
        <v>0</v>
      </c>
      <c r="B31" s="12" t="s">
        <v>128</v>
      </c>
      <c r="C31" s="29">
        <f>NPV(A31,N$91:N$106)</f>
        <v>158322.82312855404</v>
      </c>
      <c r="D31" s="12" t="s">
        <v>58</v>
      </c>
      <c r="E31" s="84">
        <f>C31/E$23</f>
        <v>15.04997224829545</v>
      </c>
    </row>
    <row r="32" spans="1:21">
      <c r="A32" s="26">
        <v>0.05</v>
      </c>
      <c r="B32" s="12" t="s">
        <v>128</v>
      </c>
      <c r="C32" s="29">
        <f>NPV(A32,N$91:N$106)</f>
        <v>86306.436081126667</v>
      </c>
      <c r="D32" s="12" t="s">
        <v>58</v>
      </c>
      <c r="E32" s="84">
        <f t="shared" ref="E32:E36" si="0">C32/E$23</f>
        <v>8.2041833401085871</v>
      </c>
    </row>
    <row r="33" spans="1:19">
      <c r="A33" s="26">
        <v>0.1</v>
      </c>
      <c r="B33" s="12" t="s">
        <v>128</v>
      </c>
      <c r="C33" s="29">
        <f t="shared" ref="C33:C36" si="1">NPV(A33,N$91:N$106)</f>
        <v>50297.638409870116</v>
      </c>
      <c r="D33" s="12" t="s">
        <v>58</v>
      </c>
      <c r="E33" s="84">
        <f t="shared" si="0"/>
        <v>4.7812314564950498</v>
      </c>
    </row>
    <row r="34" spans="1:19">
      <c r="A34" s="26">
        <v>0.125</v>
      </c>
      <c r="B34" s="12" t="s">
        <v>128</v>
      </c>
      <c r="C34" s="29">
        <f t="shared" si="1"/>
        <v>39267.488631915396</v>
      </c>
      <c r="D34" s="12" t="s">
        <v>58</v>
      </c>
      <c r="E34" s="84">
        <f t="shared" si="0"/>
        <v>3.7327190261806265</v>
      </c>
      <c r="F34" s="14"/>
    </row>
    <row r="35" spans="1:19">
      <c r="A35" s="26">
        <v>0.15</v>
      </c>
      <c r="B35" s="12" t="s">
        <v>128</v>
      </c>
      <c r="C35" s="29">
        <f t="shared" si="1"/>
        <v>31063.251382180457</v>
      </c>
      <c r="D35" s="12" t="s">
        <v>58</v>
      </c>
      <c r="E35" s="84">
        <f t="shared" si="0"/>
        <v>2.9528343545519169</v>
      </c>
      <c r="F35" s="14"/>
    </row>
    <row r="36" spans="1:19">
      <c r="A36" s="26">
        <v>0.2</v>
      </c>
      <c r="B36" s="12" t="s">
        <v>128</v>
      </c>
      <c r="C36" s="29">
        <f t="shared" si="1"/>
        <v>20103.259858707959</v>
      </c>
      <c r="D36" s="12" t="s">
        <v>58</v>
      </c>
      <c r="E36" s="84">
        <f t="shared" si="0"/>
        <v>1.9109910813563569</v>
      </c>
      <c r="F36" s="14"/>
    </row>
    <row r="37" spans="1:19">
      <c r="A37" s="12" t="s">
        <v>197</v>
      </c>
      <c r="C37" s="25">
        <f>IRR(N91:N106, 1)</f>
        <v>0.62378320458252823</v>
      </c>
    </row>
    <row r="38" spans="1:19">
      <c r="A38" s="14" t="s">
        <v>129</v>
      </c>
    </row>
    <row r="39" spans="1:19" ht="14.25">
      <c r="A39" s="30"/>
      <c r="F39" s="14" t="s">
        <v>130</v>
      </c>
      <c r="H39" s="14" t="s">
        <v>131</v>
      </c>
      <c r="J39" s="14" t="s">
        <v>132</v>
      </c>
      <c r="L39" s="14" t="s">
        <v>133</v>
      </c>
    </row>
    <row r="40" spans="1:19">
      <c r="A40" s="31" t="s">
        <v>134</v>
      </c>
      <c r="B40" s="14"/>
      <c r="F40" s="32">
        <f>D84</f>
        <v>2565.8642953479098</v>
      </c>
      <c r="G40" s="14" t="s">
        <v>76</v>
      </c>
      <c r="H40" s="32">
        <f>J84</f>
        <v>0</v>
      </c>
      <c r="I40" s="14" t="s">
        <v>135</v>
      </c>
      <c r="J40" s="33">
        <f>C106</f>
        <v>0</v>
      </c>
      <c r="K40" s="14" t="s">
        <v>136</v>
      </c>
      <c r="L40" s="32">
        <f>F40+H40/E$41+J40</f>
        <v>2565.8642953479098</v>
      </c>
      <c r="M40" s="14" t="s">
        <v>76</v>
      </c>
    </row>
    <row r="41" spans="1:19">
      <c r="A41" s="14" t="s">
        <v>137</v>
      </c>
      <c r="B41" s="14" t="s">
        <v>138</v>
      </c>
      <c r="E41" s="12">
        <v>6</v>
      </c>
      <c r="F41" s="14" t="s">
        <v>139</v>
      </c>
      <c r="H41" s="12">
        <v>1</v>
      </c>
      <c r="I41" s="14" t="s">
        <v>140</v>
      </c>
    </row>
    <row r="44" spans="1:19">
      <c r="A44" s="12" t="s">
        <v>141</v>
      </c>
      <c r="B44" s="30" t="s">
        <v>142</v>
      </c>
      <c r="C44" s="30"/>
      <c r="D44" s="30"/>
      <c r="E44" s="30" t="s">
        <v>142</v>
      </c>
      <c r="F44" s="30"/>
      <c r="G44" s="30"/>
      <c r="H44" s="30" t="s">
        <v>142</v>
      </c>
      <c r="I44" s="30"/>
      <c r="J44" s="30"/>
      <c r="K44" s="28"/>
      <c r="O44" s="30"/>
      <c r="P44" s="30"/>
      <c r="Q44" s="30"/>
      <c r="R44" s="30"/>
    </row>
    <row r="45" spans="1:19">
      <c r="A45" s="12" t="s">
        <v>143</v>
      </c>
      <c r="B45" s="30" t="s">
        <v>144</v>
      </c>
      <c r="C45" s="30" t="s">
        <v>144</v>
      </c>
      <c r="D45" s="30" t="s">
        <v>145</v>
      </c>
      <c r="E45" s="30" t="s">
        <v>144</v>
      </c>
      <c r="F45" s="30" t="s">
        <v>144</v>
      </c>
      <c r="G45" s="30" t="s">
        <v>145</v>
      </c>
      <c r="H45" s="30" t="s">
        <v>144</v>
      </c>
      <c r="I45" s="30" t="s">
        <v>144</v>
      </c>
      <c r="J45" s="30" t="s">
        <v>145</v>
      </c>
      <c r="K45" s="28" t="s">
        <v>238</v>
      </c>
      <c r="L45" s="28" t="s">
        <v>147</v>
      </c>
      <c r="M45" s="30" t="s">
        <v>148</v>
      </c>
      <c r="O45" s="28"/>
      <c r="P45" s="28"/>
      <c r="Q45" s="28"/>
      <c r="R45" s="28"/>
      <c r="S45" s="28"/>
    </row>
    <row r="46" spans="1:19">
      <c r="B46" s="30" t="s">
        <v>149</v>
      </c>
      <c r="C46" s="30" t="s">
        <v>149</v>
      </c>
      <c r="D46" s="30" t="s">
        <v>149</v>
      </c>
      <c r="E46" s="30" t="s">
        <v>150</v>
      </c>
      <c r="F46" s="30" t="s">
        <v>150</v>
      </c>
      <c r="G46" s="30" t="s">
        <v>150</v>
      </c>
      <c r="H46" s="30" t="s">
        <v>151</v>
      </c>
      <c r="I46" s="30" t="s">
        <v>151</v>
      </c>
      <c r="J46" s="30" t="s">
        <v>151</v>
      </c>
      <c r="K46" s="30" t="s">
        <v>146</v>
      </c>
      <c r="L46" s="28" t="s">
        <v>152</v>
      </c>
      <c r="M46" s="30" t="s">
        <v>152</v>
      </c>
      <c r="O46" s="30"/>
      <c r="P46" s="30"/>
      <c r="Q46" s="30"/>
      <c r="R46" s="30"/>
      <c r="S46" s="28"/>
    </row>
    <row r="47" spans="1:19">
      <c r="B47" s="28" t="s">
        <v>153</v>
      </c>
      <c r="C47" s="28" t="s">
        <v>153</v>
      </c>
      <c r="D47" s="28" t="s">
        <v>153</v>
      </c>
      <c r="E47" s="28" t="s">
        <v>153</v>
      </c>
      <c r="F47" s="28" t="s">
        <v>153</v>
      </c>
      <c r="G47" s="28" t="s">
        <v>153</v>
      </c>
      <c r="H47" s="28" t="s">
        <v>153</v>
      </c>
      <c r="I47" s="28" t="s">
        <v>153</v>
      </c>
      <c r="J47" s="28" t="s">
        <v>153</v>
      </c>
      <c r="K47" s="30" t="s">
        <v>152</v>
      </c>
      <c r="L47" s="28"/>
      <c r="M47" s="28"/>
      <c r="O47" s="28"/>
      <c r="P47" s="28"/>
      <c r="Q47" s="28"/>
      <c r="R47" s="28"/>
      <c r="S47" s="28"/>
    </row>
    <row r="48" spans="1:19">
      <c r="B48" s="30" t="s">
        <v>154</v>
      </c>
      <c r="C48" s="30" t="s">
        <v>154</v>
      </c>
      <c r="D48" s="30" t="s">
        <v>154</v>
      </c>
      <c r="E48" s="30" t="s">
        <v>155</v>
      </c>
      <c r="F48" s="30" t="s">
        <v>155</v>
      </c>
      <c r="G48" s="30" t="s">
        <v>155</v>
      </c>
      <c r="H48" s="30" t="s">
        <v>156</v>
      </c>
      <c r="I48" s="30" t="s">
        <v>156</v>
      </c>
      <c r="J48" s="30" t="s">
        <v>156</v>
      </c>
      <c r="K48" s="30" t="s">
        <v>157</v>
      </c>
      <c r="L48" s="28" t="s">
        <v>158</v>
      </c>
      <c r="M48" s="30" t="s">
        <v>157</v>
      </c>
      <c r="O48" s="28"/>
      <c r="P48" s="28"/>
      <c r="Q48" s="28"/>
      <c r="R48" s="28"/>
      <c r="S48" s="28"/>
    </row>
    <row r="49" spans="1:13">
      <c r="A49" s="34">
        <f>DATE(2017,1,1)</f>
        <v>42736</v>
      </c>
      <c r="B49" s="35">
        <f>E4</f>
        <v>400.15208907254356</v>
      </c>
      <c r="C49" s="18">
        <f t="shared" ref="C49:C63" si="2">B49*E$11</f>
        <v>400.15208907254356</v>
      </c>
      <c r="D49" s="35">
        <f t="shared" ref="D49:D63" si="3">C49*(1-$E$26-G$26*(K49-E$14)/K49)+B49*$K$26</f>
        <v>350.13307793847559</v>
      </c>
      <c r="E49" s="18">
        <f t="shared" ref="E49:G63" si="4">B49*$G$8/1000</f>
        <v>0</v>
      </c>
      <c r="F49" s="18">
        <f t="shared" si="4"/>
        <v>0</v>
      </c>
      <c r="G49" s="18">
        <f t="shared" si="4"/>
        <v>0</v>
      </c>
      <c r="H49" s="36">
        <f t="shared" ref="H49:J63" si="5">E49*$G$9</f>
        <v>0</v>
      </c>
      <c r="I49" s="36">
        <f t="shared" si="5"/>
        <v>0</v>
      </c>
      <c r="J49" s="36">
        <f t="shared" si="5"/>
        <v>0</v>
      </c>
      <c r="K49" s="22">
        <f>Prices!M41</f>
        <v>69.521276569901218</v>
      </c>
      <c r="L49" s="37">
        <f>Prices!F14</f>
        <v>4.8718819288820665</v>
      </c>
      <c r="M49" s="22">
        <v>0</v>
      </c>
    </row>
    <row r="50" spans="1:13">
      <c r="A50" s="34">
        <f>A49+365</f>
        <v>43101</v>
      </c>
      <c r="B50" s="35">
        <f t="shared" ref="B50:B63" si="6">IF(B49&lt;=E$7,0,IF(IF(E$6=0,E$4*EXP(-E$5*(A50-A$49)/365),(E$4)/(1+(E$6*E$5*(A50-A$49)/365))^(1/E$6))&lt;=(E$7),E$7,IF(E$6=0,E$4*EXP(-E$5*(A50-A$49)/365),(E$4)/(1+(E$6*E$5*(A50-A$49)/365))^(1/E$6))))</f>
        <v>380.10425357125769</v>
      </c>
      <c r="C50" s="18">
        <f t="shared" si="2"/>
        <v>380.10425357125769</v>
      </c>
      <c r="D50" s="35">
        <f t="shared" si="3"/>
        <v>332.59122187485048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22">
        <f>Prices!M42</f>
        <v>74.213723922611763</v>
      </c>
      <c r="L50" s="37">
        <f>Prices!F15</f>
        <v>4.4980415418332713</v>
      </c>
      <c r="M50" s="22">
        <v>0</v>
      </c>
    </row>
    <row r="51" spans="1:13">
      <c r="A51" s="34">
        <f t="shared" ref="A51:A63" si="7">A50+365</f>
        <v>43466</v>
      </c>
      <c r="B51" s="35">
        <f t="shared" si="6"/>
        <v>361.06082544222409</v>
      </c>
      <c r="C51" s="18">
        <f t="shared" si="2"/>
        <v>361.06082544222409</v>
      </c>
      <c r="D51" s="35">
        <f t="shared" si="3"/>
        <v>315.92822226194608</v>
      </c>
      <c r="E51" s="18">
        <f t="shared" si="4"/>
        <v>0</v>
      </c>
      <c r="F51" s="18">
        <f t="shared" si="4"/>
        <v>0</v>
      </c>
      <c r="G51" s="18">
        <f t="shared" si="4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22">
        <f>Prices!M43</f>
        <v>77.461659961858302</v>
      </c>
      <c r="L51" s="37">
        <f>Prices!F16</f>
        <v>4.5472365854935584</v>
      </c>
      <c r="M51" s="22">
        <v>0</v>
      </c>
    </row>
    <row r="52" spans="1:13">
      <c r="A52" s="34">
        <f t="shared" si="7"/>
        <v>43831</v>
      </c>
      <c r="B52" s="35">
        <f t="shared" si="6"/>
        <v>342.97148333432386</v>
      </c>
      <c r="C52" s="18">
        <f t="shared" si="2"/>
        <v>342.97148333432386</v>
      </c>
      <c r="D52" s="35">
        <f t="shared" si="3"/>
        <v>300.1000479175334</v>
      </c>
      <c r="E52" s="18">
        <f t="shared" si="4"/>
        <v>0</v>
      </c>
      <c r="F52" s="18">
        <f t="shared" si="4"/>
        <v>0</v>
      </c>
      <c r="G52" s="18">
        <f t="shared" si="4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22">
        <f>Prices!M44</f>
        <v>80.676447644567745</v>
      </c>
      <c r="L52" s="37">
        <f>Prices!F17</f>
        <v>4.8077664934430757</v>
      </c>
      <c r="M52" s="22">
        <v>0</v>
      </c>
    </row>
    <row r="53" spans="1:13">
      <c r="A53" s="34">
        <f>A52+366</f>
        <v>44197</v>
      </c>
      <c r="B53" s="35">
        <f t="shared" si="6"/>
        <v>325.74255287795222</v>
      </c>
      <c r="C53" s="18">
        <f t="shared" si="2"/>
        <v>325.74255287795222</v>
      </c>
      <c r="D53" s="35">
        <f t="shared" si="3"/>
        <v>285.02473376820819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22">
        <f>Prices!M45</f>
        <v>83.889819761858305</v>
      </c>
      <c r="L53" s="37">
        <f>Prices!F18</f>
        <v>4.9582073681962511</v>
      </c>
      <c r="M53" s="22">
        <v>0</v>
      </c>
    </row>
    <row r="54" spans="1:13">
      <c r="A54" s="34">
        <f t="shared" si="7"/>
        <v>44562</v>
      </c>
      <c r="B54" s="35">
        <f t="shared" si="6"/>
        <v>309.42267527590826</v>
      </c>
      <c r="C54" s="18">
        <f t="shared" si="2"/>
        <v>309.42267527590826</v>
      </c>
      <c r="D54" s="35">
        <f t="shared" si="3"/>
        <v>270.74484086641974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22">
        <f>Prices!M46</f>
        <v>87.052111193152427</v>
      </c>
      <c r="L54" s="37">
        <f>Prices!F19</f>
        <v>5.106592943533335</v>
      </c>
      <c r="M54" s="22">
        <v>0</v>
      </c>
    </row>
    <row r="55" spans="1:13">
      <c r="A55" s="34">
        <f t="shared" si="7"/>
        <v>44927</v>
      </c>
      <c r="B55" s="35">
        <f t="shared" si="6"/>
        <v>293.92043234453467</v>
      </c>
      <c r="C55" s="18">
        <f t="shared" si="2"/>
        <v>293.92043234453467</v>
      </c>
      <c r="D55" s="35">
        <f t="shared" si="3"/>
        <v>257.18037830146784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36">
        <f t="shared" si="5"/>
        <v>0</v>
      </c>
      <c r="I55" s="36">
        <f t="shared" si="5"/>
        <v>0</v>
      </c>
      <c r="J55" s="36">
        <f t="shared" si="5"/>
        <v>0</v>
      </c>
      <c r="K55" s="22">
        <f>Prices!M47</f>
        <v>89.222086688366531</v>
      </c>
      <c r="L55" s="37">
        <f>Prices!F20</f>
        <v>5.2554813537104295</v>
      </c>
      <c r="M55" s="22">
        <v>0</v>
      </c>
    </row>
    <row r="56" spans="1:13">
      <c r="A56" s="34">
        <f t="shared" si="7"/>
        <v>45292</v>
      </c>
      <c r="B56" s="35">
        <f t="shared" si="6"/>
        <v>279.19486014580548</v>
      </c>
      <c r="C56" s="18">
        <f t="shared" si="2"/>
        <v>279.19486014580548</v>
      </c>
      <c r="D56" s="35">
        <f t="shared" si="3"/>
        <v>244.29550262757979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36">
        <f t="shared" si="5"/>
        <v>0</v>
      </c>
      <c r="I56" s="36">
        <f t="shared" si="5"/>
        <v>0</v>
      </c>
      <c r="J56" s="36">
        <f t="shared" si="5"/>
        <v>0</v>
      </c>
      <c r="K56" s="22">
        <f>Prices!M48</f>
        <v>91.434311693484943</v>
      </c>
      <c r="L56" s="37">
        <f>Prices!F21</f>
        <v>5.3925582720906942</v>
      </c>
      <c r="M56" s="22">
        <v>0</v>
      </c>
    </row>
    <row r="57" spans="1:13">
      <c r="A57" s="34">
        <f>A56+366</f>
        <v>45658</v>
      </c>
      <c r="B57" s="35">
        <f t="shared" si="6"/>
        <v>265.16970335298976</v>
      </c>
      <c r="C57" s="18">
        <f t="shared" si="2"/>
        <v>265.16970335298976</v>
      </c>
      <c r="D57" s="35">
        <f t="shared" si="3"/>
        <v>232.02349043386604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36">
        <f t="shared" si="5"/>
        <v>0</v>
      </c>
      <c r="I57" s="36">
        <f t="shared" si="5"/>
        <v>0</v>
      </c>
      <c r="J57" s="36">
        <f t="shared" si="5"/>
        <v>0</v>
      </c>
      <c r="K57" s="22">
        <f>Prices!M49</f>
        <v>93.689131198705695</v>
      </c>
      <c r="L57" s="37">
        <f>Prices!F22</f>
        <v>5.4870229981707492</v>
      </c>
      <c r="M57" s="22">
        <v>0</v>
      </c>
    </row>
    <row r="58" spans="1:13">
      <c r="A58" s="34">
        <f t="shared" si="7"/>
        <v>46023</v>
      </c>
      <c r="B58" s="35">
        <f t="shared" si="6"/>
        <v>251.88455818464411</v>
      </c>
      <c r="C58" s="18">
        <f t="shared" si="2"/>
        <v>251.88455818464411</v>
      </c>
      <c r="D58" s="35">
        <f t="shared" si="3"/>
        <v>220.39898841156361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22">
        <f>Prices!M50</f>
        <v>95.746897094030899</v>
      </c>
      <c r="L58" s="37">
        <f>Prices!F23</f>
        <v>5.6010625088561881</v>
      </c>
      <c r="M58" s="22">
        <v>0</v>
      </c>
    </row>
    <row r="59" spans="1:13">
      <c r="A59" s="34">
        <f t="shared" si="7"/>
        <v>46388</v>
      </c>
      <c r="B59" s="35">
        <f t="shared" si="6"/>
        <v>239.26500595513082</v>
      </c>
      <c r="C59" s="18">
        <f t="shared" si="2"/>
        <v>239.26500595513082</v>
      </c>
      <c r="D59" s="35">
        <f t="shared" si="3"/>
        <v>209.35688021073946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22">
        <f>Prices!M51</f>
        <v>97.608518307262571</v>
      </c>
      <c r="L59" s="37">
        <f>Prices!F24</f>
        <v>5.7160887495053023</v>
      </c>
      <c r="M59" s="22">
        <v>0</v>
      </c>
    </row>
    <row r="60" spans="1:13">
      <c r="A60" s="34">
        <f t="shared" si="7"/>
        <v>46753</v>
      </c>
      <c r="B60" s="35">
        <f t="shared" si="6"/>
        <v>227.27770009919902</v>
      </c>
      <c r="C60" s="18">
        <f t="shared" si="2"/>
        <v>227.27770009919902</v>
      </c>
      <c r="D60" s="35">
        <f t="shared" si="3"/>
        <v>198.86798758679913</v>
      </c>
      <c r="E60" s="18">
        <f t="shared" si="4"/>
        <v>0</v>
      </c>
      <c r="F60" s="18">
        <f t="shared" si="4"/>
        <v>0</v>
      </c>
      <c r="G60" s="18">
        <f t="shared" si="4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22">
        <f>Prices!M52</f>
        <v>99.548371944758898</v>
      </c>
      <c r="L60" s="37">
        <f>Prices!F25</f>
        <v>5.832799295800716</v>
      </c>
      <c r="M60" s="22">
        <v>0</v>
      </c>
    </row>
    <row r="61" spans="1:13">
      <c r="A61" s="34">
        <f>A60+366</f>
        <v>47119</v>
      </c>
      <c r="B61" s="35">
        <f t="shared" si="6"/>
        <v>215.86056520732768</v>
      </c>
      <c r="C61" s="18">
        <f t="shared" si="2"/>
        <v>215.86056520732768</v>
      </c>
      <c r="D61" s="35">
        <f t="shared" si="3"/>
        <v>188.87799455641172</v>
      </c>
      <c r="E61" s="18">
        <f t="shared" si="4"/>
        <v>0</v>
      </c>
      <c r="F61" s="18">
        <f t="shared" si="4"/>
        <v>0</v>
      </c>
      <c r="G61" s="18">
        <f t="shared" si="4"/>
        <v>0</v>
      </c>
      <c r="H61" s="36">
        <f t="shared" si="5"/>
        <v>0</v>
      </c>
      <c r="I61" s="36">
        <f t="shared" si="5"/>
        <v>0</v>
      </c>
      <c r="J61" s="36">
        <f t="shared" si="5"/>
        <v>0</v>
      </c>
      <c r="K61" s="22">
        <f>Prices!M53</f>
        <v>101.51702265500516</v>
      </c>
      <c r="L61" s="37">
        <f>Prices!F26</f>
        <v>5.9358223546882991</v>
      </c>
      <c r="M61" s="22">
        <v>0</v>
      </c>
    </row>
    <row r="62" spans="1:13">
      <c r="A62" s="34">
        <f t="shared" si="7"/>
        <v>47484</v>
      </c>
      <c r="B62" s="35">
        <f t="shared" si="6"/>
        <v>205.04583445702397</v>
      </c>
      <c r="C62" s="18">
        <f t="shared" si="2"/>
        <v>205.04583445702397</v>
      </c>
      <c r="D62" s="35">
        <f t="shared" si="3"/>
        <v>179.41510514989596</v>
      </c>
      <c r="E62" s="18">
        <f t="shared" si="4"/>
        <v>0</v>
      </c>
      <c r="F62" s="18">
        <f t="shared" si="4"/>
        <v>0</v>
      </c>
      <c r="G62" s="18">
        <f t="shared" si="4"/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22">
        <f>Prices!M54</f>
        <v>103.54004637945633</v>
      </c>
      <c r="L62" s="37">
        <f>Prices!F27</f>
        <v>6.0560032443373499</v>
      </c>
      <c r="M62" s="22">
        <v>0</v>
      </c>
    </row>
    <row r="63" spans="1:13">
      <c r="A63" s="34">
        <f t="shared" si="7"/>
        <v>47849</v>
      </c>
      <c r="B63" s="35">
        <f t="shared" si="6"/>
        <v>194.77292755068748</v>
      </c>
      <c r="C63" s="18">
        <f t="shared" si="2"/>
        <v>194.77292755068748</v>
      </c>
      <c r="D63" s="35">
        <f t="shared" si="3"/>
        <v>170.42631160685156</v>
      </c>
      <c r="E63" s="18">
        <f t="shared" si="4"/>
        <v>0</v>
      </c>
      <c r="F63" s="18">
        <f t="shared" si="4"/>
        <v>0</v>
      </c>
      <c r="G63" s="18">
        <f t="shared" si="4"/>
        <v>0</v>
      </c>
      <c r="H63" s="36">
        <f t="shared" si="5"/>
        <v>0</v>
      </c>
      <c r="I63" s="36">
        <f t="shared" si="5"/>
        <v>0</v>
      </c>
      <c r="J63" s="36">
        <f t="shared" si="5"/>
        <v>0</v>
      </c>
      <c r="K63" s="22">
        <f>Prices!M55</f>
        <v>105.56803057839652</v>
      </c>
      <c r="L63" s="37">
        <f>Prices!F28</f>
        <v>6.1779715326126983</v>
      </c>
      <c r="M63" s="22">
        <v>0</v>
      </c>
    </row>
    <row r="65" spans="1:14">
      <c r="A65" s="12" t="s">
        <v>141</v>
      </c>
      <c r="C65" s="30" t="s">
        <v>142</v>
      </c>
      <c r="D65" s="30" t="s">
        <v>142</v>
      </c>
      <c r="E65" s="30"/>
      <c r="F65" s="30"/>
      <c r="G65" s="30"/>
      <c r="H65" s="30"/>
      <c r="I65" s="30" t="s">
        <v>142</v>
      </c>
      <c r="J65" s="30" t="s">
        <v>142</v>
      </c>
      <c r="K65" s="30"/>
      <c r="L65" s="30"/>
      <c r="M65" s="30"/>
      <c r="N65" s="30"/>
    </row>
    <row r="66" spans="1:14">
      <c r="A66" s="12" t="s">
        <v>143</v>
      </c>
      <c r="B66" s="28" t="s">
        <v>159</v>
      </c>
      <c r="C66" s="30" t="s">
        <v>160</v>
      </c>
      <c r="D66" s="30" t="s">
        <v>160</v>
      </c>
      <c r="E66" s="30" t="s">
        <v>160</v>
      </c>
      <c r="F66" s="30" t="s">
        <v>160</v>
      </c>
      <c r="G66" s="30" t="s">
        <v>161</v>
      </c>
      <c r="H66" s="30" t="s">
        <v>161</v>
      </c>
      <c r="I66" s="30" t="s">
        <v>160</v>
      </c>
      <c r="J66" s="30" t="s">
        <v>160</v>
      </c>
      <c r="K66" s="30" t="s">
        <v>160</v>
      </c>
      <c r="L66" s="30" t="s">
        <v>160</v>
      </c>
      <c r="M66" s="30" t="s">
        <v>161</v>
      </c>
      <c r="N66" s="30" t="s">
        <v>161</v>
      </c>
    </row>
    <row r="67" spans="1:14">
      <c r="B67" s="30" t="s">
        <v>162</v>
      </c>
      <c r="C67" s="30" t="s">
        <v>163</v>
      </c>
      <c r="D67" s="30" t="s">
        <v>164</v>
      </c>
      <c r="E67" s="30" t="s">
        <v>163</v>
      </c>
      <c r="F67" s="30" t="s">
        <v>164</v>
      </c>
      <c r="G67" s="30" t="s">
        <v>163</v>
      </c>
      <c r="H67" s="30" t="s">
        <v>164</v>
      </c>
      <c r="I67" s="30" t="s">
        <v>163</v>
      </c>
      <c r="J67" s="30" t="s">
        <v>164</v>
      </c>
      <c r="K67" s="30" t="s">
        <v>163</v>
      </c>
      <c r="L67" s="30" t="s">
        <v>164</v>
      </c>
      <c r="M67" s="30" t="s">
        <v>163</v>
      </c>
      <c r="N67" s="30" t="s">
        <v>164</v>
      </c>
    </row>
    <row r="68" spans="1:14">
      <c r="B68" s="28" t="s">
        <v>165</v>
      </c>
      <c r="C68" s="30" t="s">
        <v>146</v>
      </c>
      <c r="D68" s="30" t="s">
        <v>146</v>
      </c>
      <c r="E68" s="30" t="s">
        <v>146</v>
      </c>
      <c r="F68" s="30" t="s">
        <v>146</v>
      </c>
      <c r="G68" s="30" t="s">
        <v>146</v>
      </c>
      <c r="H68" s="30" t="s">
        <v>146</v>
      </c>
      <c r="I68" s="30" t="s">
        <v>166</v>
      </c>
      <c r="J68" s="30" t="s">
        <v>166</v>
      </c>
      <c r="K68" s="30" t="s">
        <v>166</v>
      </c>
      <c r="L68" s="30" t="s">
        <v>166</v>
      </c>
      <c r="M68" s="30" t="s">
        <v>166</v>
      </c>
      <c r="N68" s="30" t="s">
        <v>166</v>
      </c>
    </row>
    <row r="69" spans="1:14">
      <c r="B69" s="28"/>
      <c r="C69" s="30" t="s">
        <v>167</v>
      </c>
      <c r="D69" s="30" t="s">
        <v>167</v>
      </c>
      <c r="E69" s="30" t="s">
        <v>167</v>
      </c>
      <c r="F69" s="30" t="s">
        <v>167</v>
      </c>
      <c r="G69" s="30" t="s">
        <v>167</v>
      </c>
      <c r="H69" s="30" t="s">
        <v>167</v>
      </c>
      <c r="I69" s="30" t="s">
        <v>168</v>
      </c>
      <c r="J69" s="30" t="s">
        <v>168</v>
      </c>
      <c r="K69" s="30" t="s">
        <v>168</v>
      </c>
      <c r="L69" s="30" t="s">
        <v>168</v>
      </c>
      <c r="M69" s="30" t="s">
        <v>168</v>
      </c>
      <c r="N69" s="30" t="s">
        <v>168</v>
      </c>
    </row>
    <row r="70" spans="1:14">
      <c r="A70" s="38">
        <f t="shared" ref="A70:A84" si="8">A49</f>
        <v>42736</v>
      </c>
      <c r="B70" s="15">
        <f>E10*E11</f>
        <v>16.006083562901743</v>
      </c>
      <c r="C70" s="32">
        <f>D70</f>
        <v>142.36544132225541</v>
      </c>
      <c r="D70" s="39">
        <f>IF(B50=0,0,IF(E$6=1,(E$4)/(E$5/365)*LN((E$4)/B50)/1000,(E$4)^E$6*((E$4)^(1-E$6)-B50^(1-E$6))/((1-E$6)*E$5/365)/1000))</f>
        <v>142.36544132225541</v>
      </c>
      <c r="E70" s="15">
        <f t="shared" ref="E70:E84" si="9">C70*E$11</f>
        <v>142.36544132225541</v>
      </c>
      <c r="F70" s="39">
        <f t="shared" ref="F70:F84" si="10">D70*E$11</f>
        <v>142.36544132225541</v>
      </c>
      <c r="G70" s="15">
        <f t="shared" ref="G70:G84" si="11">IF(E70=0,0,(H92-I92)/H92*E70)+C70*$K$26</f>
        <v>124.56976115697348</v>
      </c>
      <c r="H70" s="15">
        <f>G70</f>
        <v>124.56976115697348</v>
      </c>
      <c r="I70" s="15">
        <f t="shared" ref="I70:N84" si="12">C70*$G$8/1000</f>
        <v>0</v>
      </c>
      <c r="J70" s="15">
        <f t="shared" si="12"/>
        <v>0</v>
      </c>
      <c r="K70" s="15">
        <f t="shared" si="12"/>
        <v>0</v>
      </c>
      <c r="L70" s="15">
        <f t="shared" si="12"/>
        <v>0</v>
      </c>
      <c r="M70" s="15">
        <f t="shared" si="12"/>
        <v>0</v>
      </c>
      <c r="N70" s="15">
        <f t="shared" si="12"/>
        <v>0</v>
      </c>
    </row>
    <row r="71" spans="1:14">
      <c r="A71" s="38">
        <f t="shared" si="8"/>
        <v>43101</v>
      </c>
      <c r="B71" s="15">
        <f t="shared" ref="B71:B83" si="13">IF(B51=0,0,B70)</f>
        <v>16.006083562901743</v>
      </c>
      <c r="C71" s="15">
        <f t="shared" ref="C71:C84" si="14">D71-D70</f>
        <v>135.23285592126038</v>
      </c>
      <c r="D71" s="39">
        <f t="shared" ref="D71:D83" si="15">IF(B51=0,D70,IF(E$6=1,(E$4)/(E$5/365)*LN((E$4)/B51)/1000,(E$4)^E$6*((E$4)^(1-E$6)-B51^(1-E$6))/((1-E$6)*E$5/365)/1000))</f>
        <v>277.59829724351579</v>
      </c>
      <c r="E71" s="15">
        <f t="shared" si="9"/>
        <v>135.23285592126038</v>
      </c>
      <c r="F71" s="39">
        <f t="shared" si="10"/>
        <v>277.59829724351579</v>
      </c>
      <c r="G71" s="15">
        <f t="shared" si="11"/>
        <v>118.32874893110284</v>
      </c>
      <c r="H71" s="15">
        <f t="shared" ref="H71:H84" si="16">G71+H70</f>
        <v>242.89851008807631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</row>
    <row r="72" spans="1:14">
      <c r="A72" s="38">
        <f t="shared" si="8"/>
        <v>43466</v>
      </c>
      <c r="B72" s="15">
        <f t="shared" si="13"/>
        <v>16.006083562901743</v>
      </c>
      <c r="C72" s="15">
        <f t="shared" si="14"/>
        <v>128.45761689611294</v>
      </c>
      <c r="D72" s="39">
        <f t="shared" si="15"/>
        <v>406.05591413962873</v>
      </c>
      <c r="E72" s="15">
        <f t="shared" si="9"/>
        <v>128.45761689611294</v>
      </c>
      <c r="F72" s="39">
        <f t="shared" si="10"/>
        <v>406.05591413962873</v>
      </c>
      <c r="G72" s="15">
        <f t="shared" si="11"/>
        <v>112.40041478409884</v>
      </c>
      <c r="H72" s="15">
        <f t="shared" si="16"/>
        <v>355.29892487217512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  <c r="N72" s="15">
        <f t="shared" si="12"/>
        <v>0</v>
      </c>
    </row>
    <row r="73" spans="1:14">
      <c r="A73" s="38">
        <f t="shared" si="8"/>
        <v>43831</v>
      </c>
      <c r="B73" s="15">
        <f t="shared" si="13"/>
        <v>16.006083562901743</v>
      </c>
      <c r="C73" s="15">
        <f t="shared" si="14"/>
        <v>122.34758649004641</v>
      </c>
      <c r="D73" s="39">
        <f t="shared" si="15"/>
        <v>528.40350062967514</v>
      </c>
      <c r="E73" s="15">
        <f t="shared" si="9"/>
        <v>122.34758649004641</v>
      </c>
      <c r="F73" s="39">
        <f t="shared" si="10"/>
        <v>528.40350062967514</v>
      </c>
      <c r="G73" s="15">
        <f t="shared" si="11"/>
        <v>107.05413817879061</v>
      </c>
      <c r="H73" s="15">
        <f t="shared" si="16"/>
        <v>462.35306305096572</v>
      </c>
      <c r="I73" s="15">
        <f t="shared" si="12"/>
        <v>0</v>
      </c>
      <c r="J73" s="15">
        <f t="shared" si="12"/>
        <v>0</v>
      </c>
      <c r="K73" s="15">
        <f t="shared" si="12"/>
        <v>0</v>
      </c>
      <c r="L73" s="15">
        <f t="shared" si="12"/>
        <v>0</v>
      </c>
      <c r="M73" s="15">
        <f t="shared" si="12"/>
        <v>0</v>
      </c>
      <c r="N73" s="15">
        <f t="shared" si="12"/>
        <v>0</v>
      </c>
    </row>
    <row r="74" spans="1:14">
      <c r="A74" s="38">
        <f t="shared" si="8"/>
        <v>44197</v>
      </c>
      <c r="B74" s="15">
        <f t="shared" si="13"/>
        <v>16.006083562901743</v>
      </c>
      <c r="C74" s="15">
        <f t="shared" si="14"/>
        <v>115.89214092419888</v>
      </c>
      <c r="D74" s="39">
        <f t="shared" si="15"/>
        <v>644.29564155387402</v>
      </c>
      <c r="E74" s="15">
        <f t="shared" si="9"/>
        <v>115.89214092419888</v>
      </c>
      <c r="F74" s="39">
        <f t="shared" si="10"/>
        <v>644.29564155387402</v>
      </c>
      <c r="G74" s="15">
        <f t="shared" si="11"/>
        <v>101.40562330867402</v>
      </c>
      <c r="H74" s="15">
        <f t="shared" si="16"/>
        <v>563.7586863596398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si="12"/>
        <v>0</v>
      </c>
    </row>
    <row r="75" spans="1:14">
      <c r="A75" s="38">
        <f t="shared" si="8"/>
        <v>44562</v>
      </c>
      <c r="B75" s="15">
        <f t="shared" si="13"/>
        <v>16.006083562901743</v>
      </c>
      <c r="C75" s="15">
        <f t="shared" si="14"/>
        <v>110.08588215262728</v>
      </c>
      <c r="D75" s="39">
        <f t="shared" si="15"/>
        <v>754.3815237065013</v>
      </c>
      <c r="E75" s="15">
        <f t="shared" si="9"/>
        <v>110.08588215262728</v>
      </c>
      <c r="F75" s="39">
        <f t="shared" si="10"/>
        <v>754.3815237065013</v>
      </c>
      <c r="G75" s="15">
        <f t="shared" si="11"/>
        <v>96.325146883548882</v>
      </c>
      <c r="H75" s="15">
        <f t="shared" si="16"/>
        <v>660.08383324318868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</row>
    <row r="76" spans="1:14">
      <c r="A76" s="38">
        <f t="shared" si="8"/>
        <v>44927</v>
      </c>
      <c r="B76" s="15">
        <f t="shared" si="13"/>
        <v>16.006083562901743</v>
      </c>
      <c r="C76" s="15">
        <f t="shared" si="14"/>
        <v>104.57052007735956</v>
      </c>
      <c r="D76" s="39">
        <f t="shared" si="15"/>
        <v>858.95204378386086</v>
      </c>
      <c r="E76" s="15">
        <f t="shared" si="9"/>
        <v>104.57052007735956</v>
      </c>
      <c r="F76" s="39">
        <f t="shared" si="10"/>
        <v>858.95204378386086</v>
      </c>
      <c r="G76" s="15">
        <f t="shared" si="11"/>
        <v>91.499205067689616</v>
      </c>
      <c r="H76" s="15">
        <f t="shared" si="16"/>
        <v>751.58303831087824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  <c r="M76" s="15">
        <f t="shared" si="12"/>
        <v>0</v>
      </c>
      <c r="N76" s="15">
        <f t="shared" si="12"/>
        <v>0</v>
      </c>
    </row>
    <row r="77" spans="1:14">
      <c r="A77" s="38">
        <f t="shared" si="8"/>
        <v>45292</v>
      </c>
      <c r="B77" s="15">
        <f t="shared" si="13"/>
        <v>16.006083562901743</v>
      </c>
      <c r="C77" s="15">
        <f t="shared" si="14"/>
        <v>99.596668991770684</v>
      </c>
      <c r="D77" s="39">
        <f t="shared" si="15"/>
        <v>958.54871277563154</v>
      </c>
      <c r="E77" s="15">
        <f t="shared" si="9"/>
        <v>99.596668991770684</v>
      </c>
      <c r="F77" s="39">
        <f t="shared" si="10"/>
        <v>958.54871277563154</v>
      </c>
      <c r="G77" s="15">
        <f t="shared" si="11"/>
        <v>87.147085367799349</v>
      </c>
      <c r="H77" s="15">
        <f t="shared" si="16"/>
        <v>838.73012367867761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</row>
    <row r="78" spans="1:14">
      <c r="A78" s="38">
        <f t="shared" si="8"/>
        <v>45658</v>
      </c>
      <c r="B78" s="15">
        <f t="shared" si="13"/>
        <v>16.006083562901743</v>
      </c>
      <c r="C78" s="15">
        <f t="shared" si="14"/>
        <v>94.341633778890923</v>
      </c>
      <c r="D78" s="39">
        <f t="shared" si="15"/>
        <v>1052.8903465545225</v>
      </c>
      <c r="E78" s="15">
        <f t="shared" si="9"/>
        <v>94.341633778890923</v>
      </c>
      <c r="F78" s="39">
        <f t="shared" si="10"/>
        <v>1052.8903465545225</v>
      </c>
      <c r="G78" s="15">
        <f t="shared" si="11"/>
        <v>82.548929556529558</v>
      </c>
      <c r="H78" s="15">
        <f t="shared" si="16"/>
        <v>921.27905323520713</v>
      </c>
      <c r="I78" s="15">
        <f t="shared" si="12"/>
        <v>0</v>
      </c>
      <c r="J78" s="15">
        <f t="shared" si="12"/>
        <v>0</v>
      </c>
      <c r="K78" s="15">
        <f t="shared" si="12"/>
        <v>0</v>
      </c>
      <c r="L78" s="15">
        <f t="shared" si="12"/>
        <v>0</v>
      </c>
      <c r="M78" s="15">
        <f t="shared" si="12"/>
        <v>0</v>
      </c>
      <c r="N78" s="15">
        <f t="shared" si="12"/>
        <v>0</v>
      </c>
    </row>
    <row r="79" spans="1:14">
      <c r="A79" s="38">
        <f t="shared" si="8"/>
        <v>46023</v>
      </c>
      <c r="B79" s="15">
        <f t="shared" si="13"/>
        <v>16.006083562901743</v>
      </c>
      <c r="C79" s="15">
        <f t="shared" si="14"/>
        <v>89.61506703946543</v>
      </c>
      <c r="D79" s="39">
        <f t="shared" si="15"/>
        <v>1142.5054135939879</v>
      </c>
      <c r="E79" s="15">
        <f t="shared" si="9"/>
        <v>89.61506703946543</v>
      </c>
      <c r="F79" s="39">
        <f t="shared" si="10"/>
        <v>1142.5054135939879</v>
      </c>
      <c r="G79" s="15">
        <f t="shared" si="11"/>
        <v>78.413183659532251</v>
      </c>
      <c r="H79" s="15">
        <f t="shared" si="16"/>
        <v>999.69223689473938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</row>
    <row r="80" spans="1:14">
      <c r="A80" s="38">
        <f t="shared" si="8"/>
        <v>46388</v>
      </c>
      <c r="B80" s="15">
        <f t="shared" si="13"/>
        <v>16.006083562901743</v>
      </c>
      <c r="C80" s="15">
        <f t="shared" si="14"/>
        <v>85.125303843156871</v>
      </c>
      <c r="D80" s="39">
        <f t="shared" si="15"/>
        <v>1227.6307174371448</v>
      </c>
      <c r="E80" s="15">
        <f t="shared" si="9"/>
        <v>85.125303843156871</v>
      </c>
      <c r="F80" s="39">
        <f t="shared" si="10"/>
        <v>1227.6307174371448</v>
      </c>
      <c r="G80" s="15">
        <f t="shared" si="11"/>
        <v>74.484640862762262</v>
      </c>
      <c r="H80" s="15">
        <f t="shared" si="16"/>
        <v>1074.1768777575016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>
        <f t="shared" si="12"/>
        <v>0</v>
      </c>
      <c r="M80" s="15">
        <f t="shared" si="12"/>
        <v>0</v>
      </c>
      <c r="N80" s="15">
        <f t="shared" si="12"/>
        <v>0</v>
      </c>
    </row>
    <row r="81" spans="1:18">
      <c r="A81" s="38">
        <f t="shared" si="8"/>
        <v>46753</v>
      </c>
      <c r="B81" s="15">
        <f t="shared" si="13"/>
        <v>16.006083562901743</v>
      </c>
      <c r="C81" s="15">
        <f t="shared" si="14"/>
        <v>81.07635596933801</v>
      </c>
      <c r="D81" s="39">
        <f t="shared" si="15"/>
        <v>1308.7070734064828</v>
      </c>
      <c r="E81" s="15">
        <f t="shared" si="9"/>
        <v>81.07635596933801</v>
      </c>
      <c r="F81" s="39">
        <f t="shared" si="10"/>
        <v>1308.7070734064828</v>
      </c>
      <c r="G81" s="15">
        <f t="shared" si="11"/>
        <v>70.941811473170773</v>
      </c>
      <c r="H81" s="15">
        <f t="shared" si="16"/>
        <v>1145.1186892306723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</row>
    <row r="82" spans="1:18">
      <c r="A82" s="38">
        <f t="shared" si="8"/>
        <v>47119</v>
      </c>
      <c r="B82" s="15">
        <f t="shared" si="13"/>
        <v>16.006083562901743</v>
      </c>
      <c r="C82" s="15">
        <f t="shared" si="14"/>
        <v>76.798511038740344</v>
      </c>
      <c r="D82" s="39">
        <f t="shared" si="15"/>
        <v>1385.5055844452231</v>
      </c>
      <c r="E82" s="15">
        <f t="shared" si="9"/>
        <v>76.798511038740344</v>
      </c>
      <c r="F82" s="39">
        <f t="shared" si="10"/>
        <v>1385.5055844452231</v>
      </c>
      <c r="G82" s="15">
        <f t="shared" si="11"/>
        <v>67.198697158897801</v>
      </c>
      <c r="H82" s="15">
        <f t="shared" si="16"/>
        <v>1212.3173863895702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8">
      <c r="A83" s="38">
        <f t="shared" si="8"/>
        <v>47484</v>
      </c>
      <c r="B83" s="15">
        <f t="shared" si="13"/>
        <v>16.006083562901743</v>
      </c>
      <c r="C83" s="15">
        <f t="shared" si="14"/>
        <v>72.950864211213002</v>
      </c>
      <c r="D83" s="39">
        <f t="shared" si="15"/>
        <v>1458.4564486564361</v>
      </c>
      <c r="E83" s="15">
        <f t="shared" si="9"/>
        <v>72.950864211213002</v>
      </c>
      <c r="F83" s="39">
        <f t="shared" si="10"/>
        <v>1458.4564486564361</v>
      </c>
      <c r="G83" s="15">
        <f t="shared" si="11"/>
        <v>63.832006184811377</v>
      </c>
      <c r="H83" s="15">
        <f t="shared" si="16"/>
        <v>1276.1493925743816</v>
      </c>
      <c r="I83" s="15">
        <f t="shared" si="12"/>
        <v>0</v>
      </c>
      <c r="J83" s="15">
        <f t="shared" si="12"/>
        <v>0</v>
      </c>
      <c r="K83" s="15">
        <f t="shared" si="12"/>
        <v>0</v>
      </c>
      <c r="L83" s="15">
        <f t="shared" si="12"/>
        <v>0</v>
      </c>
      <c r="M83" s="15">
        <f t="shared" si="12"/>
        <v>0</v>
      </c>
      <c r="N83" s="15">
        <f t="shared" si="12"/>
        <v>0</v>
      </c>
    </row>
    <row r="84" spans="1:18">
      <c r="A84" s="38">
        <f t="shared" si="8"/>
        <v>47849</v>
      </c>
      <c r="B84" s="15">
        <f>IF(B63=0,0,B83)</f>
        <v>16.006083562901743</v>
      </c>
      <c r="C84" s="15">
        <f t="shared" si="14"/>
        <v>1107.4078466914737</v>
      </c>
      <c r="D84" s="39">
        <f>IF(B63=0,D83,IF(E$6=1,(E$4)/(E$5/365)*LN((E$4)/E7)/1000,(E$4)^E$6*((E$4)^(1-E$6)-E7^(1-E$6))/((1-E$6)*E$5/365)/1000))</f>
        <v>2565.8642953479098</v>
      </c>
      <c r="E84" s="15">
        <f t="shared" si="9"/>
        <v>1107.4078466914737</v>
      </c>
      <c r="F84" s="39">
        <f t="shared" si="10"/>
        <v>2565.8642953479098</v>
      </c>
      <c r="G84" s="18">
        <f t="shared" si="11"/>
        <v>968.98186585503959</v>
      </c>
      <c r="H84" s="15">
        <f t="shared" si="16"/>
        <v>2245.131258429421</v>
      </c>
      <c r="I84" s="15">
        <f t="shared" si="12"/>
        <v>0</v>
      </c>
      <c r="J84" s="15">
        <f t="shared" si="12"/>
        <v>0</v>
      </c>
      <c r="K84" s="15">
        <f t="shared" si="12"/>
        <v>0</v>
      </c>
      <c r="L84" s="15">
        <f t="shared" si="12"/>
        <v>0</v>
      </c>
      <c r="M84" s="15">
        <f t="shared" si="12"/>
        <v>0</v>
      </c>
      <c r="N84" s="15">
        <f t="shared" si="12"/>
        <v>0</v>
      </c>
    </row>
    <row r="85" spans="1:18">
      <c r="A85" s="38"/>
    </row>
    <row r="86" spans="1:18">
      <c r="A86" s="12" t="s">
        <v>141</v>
      </c>
      <c r="B86" s="30" t="s">
        <v>142</v>
      </c>
      <c r="C86" s="30" t="s">
        <v>142</v>
      </c>
      <c r="D86" s="30"/>
      <c r="E86" s="30"/>
      <c r="F86" s="30"/>
      <c r="G86" s="30"/>
    </row>
    <row r="87" spans="1:18">
      <c r="A87" s="12" t="s">
        <v>143</v>
      </c>
      <c r="B87" s="30" t="s">
        <v>160</v>
      </c>
      <c r="C87" s="30" t="s">
        <v>160</v>
      </c>
      <c r="D87" s="30" t="s">
        <v>160</v>
      </c>
      <c r="E87" s="30" t="s">
        <v>160</v>
      </c>
      <c r="F87" s="30" t="s">
        <v>161</v>
      </c>
      <c r="G87" s="30" t="s">
        <v>161</v>
      </c>
      <c r="H87" s="30"/>
      <c r="I87" s="30"/>
      <c r="J87" s="30"/>
      <c r="K87" s="30"/>
      <c r="L87" s="30"/>
      <c r="M87" s="30"/>
      <c r="N87" s="30"/>
    </row>
    <row r="88" spans="1:18">
      <c r="B88" s="30" t="s">
        <v>163</v>
      </c>
      <c r="C88" s="30" t="s">
        <v>164</v>
      </c>
      <c r="D88" s="30" t="s">
        <v>163</v>
      </c>
      <c r="E88" s="30" t="s">
        <v>164</v>
      </c>
      <c r="F88" s="30" t="s">
        <v>163</v>
      </c>
      <c r="G88" s="30" t="s">
        <v>164</v>
      </c>
      <c r="H88" s="30" t="s">
        <v>169</v>
      </c>
      <c r="I88" s="28" t="s">
        <v>170</v>
      </c>
      <c r="J88" s="28" t="s">
        <v>170</v>
      </c>
      <c r="K88" s="28" t="s">
        <v>171</v>
      </c>
      <c r="L88" s="28" t="s">
        <v>172</v>
      </c>
      <c r="M88" s="28" t="s">
        <v>173</v>
      </c>
      <c r="N88" s="30" t="s">
        <v>174</v>
      </c>
    </row>
    <row r="89" spans="1:18">
      <c r="B89" s="30" t="s">
        <v>148</v>
      </c>
      <c r="C89" s="30" t="s">
        <v>148</v>
      </c>
      <c r="D89" s="30" t="s">
        <v>148</v>
      </c>
      <c r="E89" s="30" t="s">
        <v>148</v>
      </c>
      <c r="F89" s="30" t="s">
        <v>148</v>
      </c>
      <c r="G89" s="30" t="s">
        <v>148</v>
      </c>
      <c r="H89" s="28" t="s">
        <v>175</v>
      </c>
      <c r="I89" s="30" t="s">
        <v>176</v>
      </c>
      <c r="J89" s="30" t="s">
        <v>177</v>
      </c>
      <c r="K89" s="28" t="s">
        <v>178</v>
      </c>
      <c r="L89" s="28" t="s">
        <v>179</v>
      </c>
      <c r="M89" s="28" t="s">
        <v>178</v>
      </c>
      <c r="N89" s="28" t="s">
        <v>180</v>
      </c>
      <c r="Q89" s="16"/>
    </row>
    <row r="90" spans="1:18">
      <c r="B90" s="30" t="s">
        <v>181</v>
      </c>
      <c r="C90" s="30" t="s">
        <v>181</v>
      </c>
      <c r="D90" s="30" t="s">
        <v>181</v>
      </c>
      <c r="E90" s="30" t="s">
        <v>181</v>
      </c>
      <c r="F90" s="30" t="s">
        <v>181</v>
      </c>
      <c r="G90" s="30" t="s">
        <v>181</v>
      </c>
      <c r="H90" s="28" t="s">
        <v>55</v>
      </c>
      <c r="I90" s="28" t="s">
        <v>55</v>
      </c>
      <c r="J90" s="28" t="s">
        <v>55</v>
      </c>
      <c r="K90" s="28" t="s">
        <v>55</v>
      </c>
      <c r="L90" s="28" t="s">
        <v>55</v>
      </c>
      <c r="M90" s="28" t="s">
        <v>55</v>
      </c>
      <c r="N90" s="28" t="s">
        <v>55</v>
      </c>
    </row>
    <row r="91" spans="1:18">
      <c r="B91" s="30"/>
      <c r="C91" s="30"/>
      <c r="D91" s="30"/>
      <c r="E91" s="30"/>
      <c r="F91" s="30"/>
      <c r="G91" s="30"/>
      <c r="H91" s="28"/>
      <c r="I91" s="28"/>
      <c r="J91" s="28"/>
      <c r="K91" s="28"/>
      <c r="L91" s="28"/>
      <c r="M91" s="43">
        <f>E23</f>
        <v>10519.808310376491</v>
      </c>
      <c r="N91" s="41">
        <f t="shared" ref="N91:N106" si="17">L91-M91</f>
        <v>-10519.808310376491</v>
      </c>
    </row>
    <row r="92" spans="1:18">
      <c r="A92" s="38">
        <f t="shared" ref="A92:A106" si="18">A70</f>
        <v>42736</v>
      </c>
      <c r="B92" s="18">
        <f t="shared" ref="B92:B106" si="19">I70*$G$9*1000</f>
        <v>0</v>
      </c>
      <c r="C92" s="18">
        <f t="shared" ref="C92:C106" si="20">J70*$G$9*1000</f>
        <v>0</v>
      </c>
      <c r="D92" s="18">
        <f t="shared" ref="D92:D106" si="21">K70*$G$9*1000</f>
        <v>0</v>
      </c>
      <c r="E92" s="18">
        <f t="shared" ref="E92:E106" si="22">L70*$G$9*1000</f>
        <v>0</v>
      </c>
      <c r="F92" s="18">
        <f t="shared" ref="F92:F106" si="23">M70*$G$9*1000</f>
        <v>0</v>
      </c>
      <c r="G92" s="18">
        <f t="shared" ref="G92:G106" si="24">N70*$G$9*1000</f>
        <v>0</v>
      </c>
      <c r="H92" s="41">
        <f t="shared" ref="H92:H106" si="25">E70*K49+K70*L49+D92*M49/1000</f>
        <v>9897.4272201605618</v>
      </c>
      <c r="I92" s="41">
        <f t="shared" ref="I92:I106" si="26">E70*K49*E$26+E70*(K49-E$14)*G$26+K70*L49*E$26+K70*(L49-E$15)*G$26+D92*M49*(E$26+G$26)/1000</f>
        <v>1237.1784025200702</v>
      </c>
      <c r="J92" s="41">
        <f t="shared" ref="J92:J106" si="27">C70*K49*I$26+C70*(K49-E$14)*K$26+I70*L49*I$26+I70*(L49-E$15)*K$26+B92*M49*(I$26+K$26)/1000</f>
        <v>0</v>
      </c>
      <c r="K92" s="41">
        <f t="shared" ref="K92:K106" si="28">IF(H92=0,0,((B70*E$16+E$19)*12+E70*(E$17+E$20)+K70*E$18)*(1+E$21)^((A49-A$49)/365))</f>
        <v>2143.654413222554</v>
      </c>
      <c r="L92" s="41">
        <f t="shared" ref="L92:L106" si="29">H92+J92-I92-K92</f>
        <v>6516.5944044179378</v>
      </c>
      <c r="M92" s="41">
        <f t="shared" ref="M92:M104" si="30">IF(B71&lt;B70,E$24*(1+E$21/365)^(A49-A$49),0)</f>
        <v>0</v>
      </c>
      <c r="N92" s="41">
        <f t="shared" si="17"/>
        <v>6516.5944044179378</v>
      </c>
      <c r="O92" s="40"/>
      <c r="P92" s="40"/>
      <c r="Q92" s="40"/>
      <c r="R92" s="40"/>
    </row>
    <row r="93" spans="1:18">
      <c r="A93" s="38">
        <f t="shared" si="18"/>
        <v>43101</v>
      </c>
      <c r="B93" s="18">
        <f t="shared" si="19"/>
        <v>0</v>
      </c>
      <c r="C93" s="18">
        <f t="shared" si="20"/>
        <v>0</v>
      </c>
      <c r="D93" s="18">
        <f t="shared" si="21"/>
        <v>0</v>
      </c>
      <c r="E93" s="18">
        <f t="shared" si="22"/>
        <v>0</v>
      </c>
      <c r="F93" s="18">
        <f t="shared" si="23"/>
        <v>0</v>
      </c>
      <c r="G93" s="18">
        <f t="shared" si="24"/>
        <v>0</v>
      </c>
      <c r="H93" s="41">
        <f t="shared" si="25"/>
        <v>10036.133834606751</v>
      </c>
      <c r="I93" s="41">
        <f t="shared" si="26"/>
        <v>1254.5167293258439</v>
      </c>
      <c r="J93" s="41">
        <f t="shared" si="27"/>
        <v>0</v>
      </c>
      <c r="K93" s="41">
        <f t="shared" si="28"/>
        <v>2113.7751303968562</v>
      </c>
      <c r="L93" s="41">
        <f t="shared" si="29"/>
        <v>6667.8419748840515</v>
      </c>
      <c r="M93" s="41">
        <f t="shared" si="30"/>
        <v>0</v>
      </c>
      <c r="N93" s="41">
        <f t="shared" si="17"/>
        <v>6667.8419748840515</v>
      </c>
      <c r="O93" s="40"/>
      <c r="P93" s="40"/>
      <c r="Q93" s="40"/>
      <c r="R93" s="40"/>
    </row>
    <row r="94" spans="1:18">
      <c r="A94" s="38">
        <f t="shared" si="18"/>
        <v>43466</v>
      </c>
      <c r="B94" s="18">
        <f t="shared" si="19"/>
        <v>0</v>
      </c>
      <c r="C94" s="18">
        <f t="shared" si="20"/>
        <v>0</v>
      </c>
      <c r="D94" s="18">
        <f t="shared" si="21"/>
        <v>0</v>
      </c>
      <c r="E94" s="18">
        <f t="shared" si="22"/>
        <v>0</v>
      </c>
      <c r="F94" s="18">
        <f t="shared" si="23"/>
        <v>0</v>
      </c>
      <c r="G94" s="18">
        <f t="shared" si="24"/>
        <v>0</v>
      </c>
      <c r="H94" s="41">
        <f t="shared" si="25"/>
        <v>9950.5402395173642</v>
      </c>
      <c r="I94" s="41">
        <f t="shared" si="26"/>
        <v>1243.8175299396705</v>
      </c>
      <c r="J94" s="41">
        <f t="shared" si="27"/>
        <v>0</v>
      </c>
      <c r="K94" s="41">
        <f t="shared" si="28"/>
        <v>2085.5610461871593</v>
      </c>
      <c r="L94" s="41">
        <f t="shared" si="29"/>
        <v>6621.1616633905351</v>
      </c>
      <c r="M94" s="41">
        <f t="shared" si="30"/>
        <v>0</v>
      </c>
      <c r="N94" s="41">
        <f t="shared" si="17"/>
        <v>6621.1616633905351</v>
      </c>
      <c r="O94" s="40"/>
      <c r="P94" s="40"/>
      <c r="Q94" s="40"/>
      <c r="R94" s="40"/>
    </row>
    <row r="95" spans="1:18">
      <c r="A95" s="38">
        <f t="shared" si="18"/>
        <v>43831</v>
      </c>
      <c r="B95" s="18">
        <f t="shared" si="19"/>
        <v>0</v>
      </c>
      <c r="C95" s="18">
        <f t="shared" si="20"/>
        <v>0</v>
      </c>
      <c r="D95" s="18">
        <f t="shared" si="21"/>
        <v>0</v>
      </c>
      <c r="E95" s="18">
        <f t="shared" si="22"/>
        <v>0</v>
      </c>
      <c r="F95" s="18">
        <f t="shared" si="23"/>
        <v>0</v>
      </c>
      <c r="G95" s="18">
        <f t="shared" si="24"/>
        <v>0</v>
      </c>
      <c r="H95" s="41">
        <f t="shared" si="25"/>
        <v>9870.568655903453</v>
      </c>
      <c r="I95" s="41">
        <f t="shared" si="26"/>
        <v>1233.8210819879316</v>
      </c>
      <c r="J95" s="41">
        <f t="shared" si="27"/>
        <v>0</v>
      </c>
      <c r="K95" s="41">
        <f t="shared" si="28"/>
        <v>2062.4321356392916</v>
      </c>
      <c r="L95" s="41">
        <f t="shared" si="29"/>
        <v>6574.3154382762295</v>
      </c>
      <c r="M95" s="41">
        <f t="shared" si="30"/>
        <v>0</v>
      </c>
      <c r="N95" s="41">
        <f t="shared" si="17"/>
        <v>6574.3154382762295</v>
      </c>
      <c r="O95" s="40"/>
      <c r="P95" s="40"/>
      <c r="Q95" s="40"/>
      <c r="R95" s="40"/>
    </row>
    <row r="96" spans="1:18">
      <c r="A96" s="38">
        <f t="shared" si="18"/>
        <v>44197</v>
      </c>
      <c r="B96" s="18">
        <f t="shared" si="19"/>
        <v>0</v>
      </c>
      <c r="C96" s="18">
        <f t="shared" si="20"/>
        <v>0</v>
      </c>
      <c r="D96" s="18">
        <f t="shared" si="21"/>
        <v>0</v>
      </c>
      <c r="E96" s="18">
        <f t="shared" si="22"/>
        <v>0</v>
      </c>
      <c r="F96" s="18">
        <f t="shared" si="23"/>
        <v>0</v>
      </c>
      <c r="G96" s="18">
        <f t="shared" si="24"/>
        <v>0</v>
      </c>
      <c r="H96" s="41">
        <f t="shared" si="25"/>
        <v>9722.1708139469265</v>
      </c>
      <c r="I96" s="41">
        <f t="shared" si="26"/>
        <v>1215.2713517433658</v>
      </c>
      <c r="J96" s="41">
        <f t="shared" si="27"/>
        <v>0</v>
      </c>
      <c r="K96" s="41">
        <f t="shared" si="28"/>
        <v>2033.9153040627682</v>
      </c>
      <c r="L96" s="41">
        <f t="shared" si="29"/>
        <v>6472.9841581407927</v>
      </c>
      <c r="M96" s="41">
        <f t="shared" si="30"/>
        <v>0</v>
      </c>
      <c r="N96" s="41">
        <f t="shared" si="17"/>
        <v>6472.9841581407927</v>
      </c>
      <c r="O96" s="40"/>
      <c r="P96" s="40"/>
      <c r="Q96" s="40"/>
      <c r="R96" s="40"/>
    </row>
    <row r="97" spans="1:18">
      <c r="A97" s="38">
        <f t="shared" si="18"/>
        <v>44562</v>
      </c>
      <c r="B97" s="18">
        <f t="shared" si="19"/>
        <v>0</v>
      </c>
      <c r="C97" s="18">
        <f t="shared" si="20"/>
        <v>0</v>
      </c>
      <c r="D97" s="18">
        <f t="shared" si="21"/>
        <v>0</v>
      </c>
      <c r="E97" s="18">
        <f t="shared" si="22"/>
        <v>0</v>
      </c>
      <c r="F97" s="18">
        <f t="shared" si="23"/>
        <v>0</v>
      </c>
      <c r="G97" s="18">
        <f t="shared" si="24"/>
        <v>0</v>
      </c>
      <c r="H97" s="41">
        <f t="shared" si="25"/>
        <v>9583.2084539467833</v>
      </c>
      <c r="I97" s="41">
        <f t="shared" si="26"/>
        <v>1197.9010567433479</v>
      </c>
      <c r="J97" s="41">
        <f t="shared" si="27"/>
        <v>0</v>
      </c>
      <c r="K97" s="41">
        <f t="shared" si="28"/>
        <v>2010.484343587714</v>
      </c>
      <c r="L97" s="41">
        <f t="shared" si="29"/>
        <v>6374.8230536157225</v>
      </c>
      <c r="M97" s="41">
        <f t="shared" si="30"/>
        <v>0</v>
      </c>
      <c r="N97" s="41">
        <f t="shared" si="17"/>
        <v>6374.8230536157225</v>
      </c>
      <c r="O97" s="40"/>
      <c r="P97" s="40"/>
      <c r="Q97" s="40"/>
      <c r="R97" s="40"/>
    </row>
    <row r="98" spans="1:18">
      <c r="A98" s="38">
        <f t="shared" si="18"/>
        <v>44927</v>
      </c>
      <c r="B98" s="18">
        <f t="shared" si="19"/>
        <v>0</v>
      </c>
      <c r="C98" s="18">
        <f t="shared" si="20"/>
        <v>0</v>
      </c>
      <c r="D98" s="18">
        <f t="shared" si="21"/>
        <v>0</v>
      </c>
      <c r="E98" s="18">
        <f t="shared" si="22"/>
        <v>0</v>
      </c>
      <c r="F98" s="18">
        <f t="shared" si="23"/>
        <v>0</v>
      </c>
      <c r="G98" s="18">
        <f t="shared" si="24"/>
        <v>0</v>
      </c>
      <c r="H98" s="41">
        <f t="shared" si="25"/>
        <v>9330.0000073897481</v>
      </c>
      <c r="I98" s="41">
        <f t="shared" si="26"/>
        <v>1166.2500009237185</v>
      </c>
      <c r="J98" s="41">
        <f t="shared" si="27"/>
        <v>0</v>
      </c>
      <c r="K98" s="41">
        <f t="shared" si="28"/>
        <v>1988.5787255832035</v>
      </c>
      <c r="L98" s="41">
        <f t="shared" si="29"/>
        <v>6175.1712808828261</v>
      </c>
      <c r="M98" s="41">
        <f t="shared" si="30"/>
        <v>0</v>
      </c>
      <c r="N98" s="41">
        <f t="shared" si="17"/>
        <v>6175.1712808828261</v>
      </c>
      <c r="O98" s="40"/>
      <c r="P98" s="40"/>
      <c r="Q98" s="40"/>
      <c r="R98" s="40"/>
    </row>
    <row r="99" spans="1:18">
      <c r="A99" s="38">
        <f t="shared" si="18"/>
        <v>45292</v>
      </c>
      <c r="B99" s="18">
        <f t="shared" si="19"/>
        <v>0</v>
      </c>
      <c r="C99" s="18">
        <f t="shared" si="20"/>
        <v>0</v>
      </c>
      <c r="D99" s="18">
        <f t="shared" si="21"/>
        <v>0</v>
      </c>
      <c r="E99" s="18">
        <f t="shared" si="22"/>
        <v>0</v>
      </c>
      <c r="F99" s="18">
        <f t="shared" si="23"/>
        <v>0</v>
      </c>
      <c r="G99" s="18">
        <f t="shared" si="24"/>
        <v>0</v>
      </c>
      <c r="H99" s="41">
        <f t="shared" si="25"/>
        <v>9106.5528762264075</v>
      </c>
      <c r="I99" s="41">
        <f t="shared" si="26"/>
        <v>1138.3191095283009</v>
      </c>
      <c r="J99" s="41">
        <f t="shared" si="27"/>
        <v>0</v>
      </c>
      <c r="K99" s="41">
        <f t="shared" si="28"/>
        <v>1971.2132857299484</v>
      </c>
      <c r="L99" s="41">
        <f t="shared" si="29"/>
        <v>5997.0204809681582</v>
      </c>
      <c r="M99" s="41">
        <f t="shared" si="30"/>
        <v>0</v>
      </c>
      <c r="N99" s="41">
        <f t="shared" si="17"/>
        <v>5997.0204809681582</v>
      </c>
      <c r="O99" s="40"/>
      <c r="P99" s="40"/>
      <c r="Q99" s="40"/>
      <c r="R99" s="40"/>
    </row>
    <row r="100" spans="1:18">
      <c r="A100" s="38">
        <f t="shared" si="18"/>
        <v>45658</v>
      </c>
      <c r="B100" s="18">
        <f t="shared" si="19"/>
        <v>0</v>
      </c>
      <c r="C100" s="18">
        <f t="shared" si="20"/>
        <v>0</v>
      </c>
      <c r="D100" s="18">
        <f t="shared" si="21"/>
        <v>0</v>
      </c>
      <c r="E100" s="18">
        <f t="shared" si="22"/>
        <v>0</v>
      </c>
      <c r="F100" s="18">
        <f t="shared" si="23"/>
        <v>0</v>
      </c>
      <c r="G100" s="18">
        <f t="shared" si="24"/>
        <v>0</v>
      </c>
      <c r="H100" s="41">
        <f t="shared" si="25"/>
        <v>8838.7857046107565</v>
      </c>
      <c r="I100" s="41">
        <f t="shared" si="26"/>
        <v>1104.8482130763446</v>
      </c>
      <c r="J100" s="41">
        <f t="shared" si="27"/>
        <v>0</v>
      </c>
      <c r="K100" s="41">
        <f t="shared" si="28"/>
        <v>1949.1688447382735</v>
      </c>
      <c r="L100" s="41">
        <f t="shared" si="29"/>
        <v>5784.7686467961394</v>
      </c>
      <c r="M100" s="41">
        <f t="shared" si="30"/>
        <v>0</v>
      </c>
      <c r="N100" s="41">
        <f t="shared" si="17"/>
        <v>5784.7686467961394</v>
      </c>
      <c r="O100" s="40"/>
      <c r="P100" s="40"/>
      <c r="Q100" s="40"/>
      <c r="R100" s="40"/>
    </row>
    <row r="101" spans="1:18">
      <c r="A101" s="38">
        <f t="shared" si="18"/>
        <v>46023</v>
      </c>
      <c r="B101" s="18">
        <f t="shared" si="19"/>
        <v>0</v>
      </c>
      <c r="C101" s="18">
        <f t="shared" si="20"/>
        <v>0</v>
      </c>
      <c r="D101" s="18">
        <f t="shared" si="21"/>
        <v>0</v>
      </c>
      <c r="E101" s="18">
        <f t="shared" si="22"/>
        <v>0</v>
      </c>
      <c r="F101" s="18">
        <f t="shared" si="23"/>
        <v>0</v>
      </c>
      <c r="G101" s="18">
        <f t="shared" si="24"/>
        <v>0</v>
      </c>
      <c r="H101" s="41">
        <f t="shared" si="25"/>
        <v>8580.3646019023763</v>
      </c>
      <c r="I101" s="41">
        <f t="shared" si="26"/>
        <v>1072.545575237797</v>
      </c>
      <c r="J101" s="41">
        <f t="shared" si="27"/>
        <v>0</v>
      </c>
      <c r="K101" s="41">
        <f t="shared" si="28"/>
        <v>1931.6592441973553</v>
      </c>
      <c r="L101" s="41">
        <f t="shared" si="29"/>
        <v>5576.1597824672244</v>
      </c>
      <c r="M101" s="41">
        <f t="shared" si="30"/>
        <v>0</v>
      </c>
      <c r="N101" s="41">
        <f t="shared" si="17"/>
        <v>5576.1597824672244</v>
      </c>
      <c r="O101" s="40"/>
      <c r="P101" s="40"/>
      <c r="Q101" s="40"/>
      <c r="R101" s="40"/>
    </row>
    <row r="102" spans="1:18">
      <c r="A102" s="38">
        <f t="shared" si="18"/>
        <v>46388</v>
      </c>
      <c r="B102" s="18">
        <f t="shared" si="19"/>
        <v>0</v>
      </c>
      <c r="C102" s="18">
        <f t="shared" si="20"/>
        <v>0</v>
      </c>
      <c r="D102" s="18">
        <f t="shared" si="21"/>
        <v>0</v>
      </c>
      <c r="E102" s="18">
        <f t="shared" si="22"/>
        <v>0</v>
      </c>
      <c r="F102" s="18">
        <f t="shared" si="23"/>
        <v>0</v>
      </c>
      <c r="G102" s="18">
        <f t="shared" si="24"/>
        <v>0</v>
      </c>
      <c r="H102" s="41">
        <f t="shared" si="25"/>
        <v>8308.9547785860668</v>
      </c>
      <c r="I102" s="41">
        <f t="shared" si="26"/>
        <v>1038.6193473232584</v>
      </c>
      <c r="J102" s="41">
        <f t="shared" si="27"/>
        <v>0</v>
      </c>
      <c r="K102" s="41">
        <f t="shared" si="28"/>
        <v>1915.556527311114</v>
      </c>
      <c r="L102" s="41">
        <f t="shared" si="29"/>
        <v>5354.7789039516947</v>
      </c>
      <c r="M102" s="41">
        <f t="shared" si="30"/>
        <v>0</v>
      </c>
      <c r="N102" s="41">
        <f t="shared" si="17"/>
        <v>5354.7789039516947</v>
      </c>
      <c r="O102" s="40"/>
      <c r="P102" s="40"/>
      <c r="Q102" s="40"/>
      <c r="R102" s="40"/>
    </row>
    <row r="103" spans="1:18">
      <c r="A103" s="38">
        <f t="shared" si="18"/>
        <v>46753</v>
      </c>
      <c r="B103" s="18">
        <f t="shared" si="19"/>
        <v>0</v>
      </c>
      <c r="C103" s="18">
        <f t="shared" si="20"/>
        <v>0</v>
      </c>
      <c r="D103" s="18">
        <f t="shared" si="21"/>
        <v>0</v>
      </c>
      <c r="E103" s="18">
        <f t="shared" si="22"/>
        <v>0</v>
      </c>
      <c r="F103" s="18">
        <f t="shared" si="23"/>
        <v>0</v>
      </c>
      <c r="G103" s="18">
        <f t="shared" si="24"/>
        <v>0</v>
      </c>
      <c r="H103" s="41">
        <f t="shared" si="25"/>
        <v>8071.0192399613334</v>
      </c>
      <c r="I103" s="41">
        <f t="shared" si="26"/>
        <v>1008.8774049951667</v>
      </c>
      <c r="J103" s="41">
        <f t="shared" si="27"/>
        <v>0</v>
      </c>
      <c r="K103" s="41">
        <f t="shared" si="28"/>
        <v>1903.518617279494</v>
      </c>
      <c r="L103" s="41">
        <f t="shared" si="29"/>
        <v>5158.6232176866733</v>
      </c>
      <c r="M103" s="41">
        <f t="shared" si="30"/>
        <v>0</v>
      </c>
      <c r="N103" s="41">
        <f t="shared" si="17"/>
        <v>5158.6232176866733</v>
      </c>
      <c r="O103" s="40"/>
      <c r="P103" s="40"/>
      <c r="Q103" s="40"/>
      <c r="R103" s="40"/>
    </row>
    <row r="104" spans="1:18">
      <c r="A104" s="38">
        <f t="shared" si="18"/>
        <v>47119</v>
      </c>
      <c r="B104" s="18">
        <f t="shared" si="19"/>
        <v>0</v>
      </c>
      <c r="C104" s="18">
        <f t="shared" si="20"/>
        <v>0</v>
      </c>
      <c r="D104" s="18">
        <f t="shared" si="21"/>
        <v>0</v>
      </c>
      <c r="E104" s="18">
        <f t="shared" si="22"/>
        <v>0</v>
      </c>
      <c r="F104" s="18">
        <f t="shared" si="23"/>
        <v>0</v>
      </c>
      <c r="G104" s="18">
        <f t="shared" si="24"/>
        <v>0</v>
      </c>
      <c r="H104" s="41">
        <f t="shared" si="25"/>
        <v>7796.3561849904672</v>
      </c>
      <c r="I104" s="41">
        <f t="shared" si="26"/>
        <v>974.5445231238084</v>
      </c>
      <c r="J104" s="41">
        <f t="shared" si="27"/>
        <v>0</v>
      </c>
      <c r="K104" s="41">
        <f t="shared" si="28"/>
        <v>1887.4320826188446</v>
      </c>
      <c r="L104" s="41">
        <f t="shared" si="29"/>
        <v>4934.379579247814</v>
      </c>
      <c r="M104" s="41">
        <f t="shared" si="30"/>
        <v>0</v>
      </c>
      <c r="N104" s="41">
        <f t="shared" si="17"/>
        <v>4934.379579247814</v>
      </c>
      <c r="O104" s="40"/>
      <c r="P104" s="40"/>
      <c r="Q104" s="40"/>
      <c r="R104" s="40"/>
    </row>
    <row r="105" spans="1:18">
      <c r="A105" s="38">
        <f t="shared" si="18"/>
        <v>47484</v>
      </c>
      <c r="B105" s="18">
        <f t="shared" si="19"/>
        <v>0</v>
      </c>
      <c r="C105" s="18">
        <f t="shared" si="20"/>
        <v>0</v>
      </c>
      <c r="D105" s="18">
        <f t="shared" si="21"/>
        <v>0</v>
      </c>
      <c r="E105" s="18">
        <f t="shared" si="22"/>
        <v>0</v>
      </c>
      <c r="F105" s="18">
        <f t="shared" si="23"/>
        <v>0</v>
      </c>
      <c r="G105" s="18">
        <f t="shared" si="24"/>
        <v>0</v>
      </c>
      <c r="H105" s="41">
        <f t="shared" si="25"/>
        <v>7553.3358638504151</v>
      </c>
      <c r="I105" s="41">
        <f t="shared" si="26"/>
        <v>944.16698298130189</v>
      </c>
      <c r="J105" s="41">
        <f t="shared" si="27"/>
        <v>0</v>
      </c>
      <c r="K105" s="41">
        <f t="shared" si="28"/>
        <v>1875.3992079479135</v>
      </c>
      <c r="L105" s="41">
        <f t="shared" si="29"/>
        <v>4733.7696729212003</v>
      </c>
      <c r="M105" s="41">
        <f>IF(B84&lt;B83,E$24*(1+E$21/365)^(A62-A$49),0)</f>
        <v>0</v>
      </c>
      <c r="N105" s="41">
        <f t="shared" si="17"/>
        <v>4733.7696729212003</v>
      </c>
      <c r="O105" s="40"/>
      <c r="P105" s="40"/>
      <c r="Q105" s="40"/>
      <c r="R105" s="40"/>
    </row>
    <row r="106" spans="1:18">
      <c r="A106" s="38">
        <f t="shared" si="18"/>
        <v>47849</v>
      </c>
      <c r="B106" s="18">
        <f t="shared" si="19"/>
        <v>0</v>
      </c>
      <c r="C106" s="18">
        <f t="shared" si="20"/>
        <v>0</v>
      </c>
      <c r="D106" s="18">
        <f t="shared" si="21"/>
        <v>0</v>
      </c>
      <c r="E106" s="18">
        <f t="shared" si="22"/>
        <v>0</v>
      </c>
      <c r="F106" s="18">
        <f t="shared" si="23"/>
        <v>0</v>
      </c>
      <c r="G106" s="18">
        <f t="shared" si="24"/>
        <v>0</v>
      </c>
      <c r="H106" s="41">
        <f t="shared" si="25"/>
        <v>116906.86542228173</v>
      </c>
      <c r="I106" s="41">
        <f t="shared" si="26"/>
        <v>14613.358177785216</v>
      </c>
      <c r="J106" s="41">
        <f t="shared" si="27"/>
        <v>0</v>
      </c>
      <c r="K106" s="41">
        <f t="shared" si="28"/>
        <v>15564.569170667097</v>
      </c>
      <c r="L106" s="41">
        <f t="shared" si="29"/>
        <v>86728.938073829428</v>
      </c>
      <c r="M106" s="41">
        <f>IF(B85&lt;B84,E$24*(1+E$21/365)^(A63-A$49),0)</f>
        <v>828.69889254590123</v>
      </c>
      <c r="N106" s="41">
        <f t="shared" si="17"/>
        <v>85900.239181283527</v>
      </c>
      <c r="O106" s="40"/>
      <c r="P106" s="40"/>
      <c r="Q106" s="40"/>
      <c r="R106" s="40"/>
    </row>
  </sheetData>
  <pageMargins left="0.74803149606299213" right="0.74803149606299213" top="0.98425196850393704" bottom="0.98425196850393704" header="0.51181102362204722" footer="0.51181102362204722"/>
  <pageSetup scale="68" fitToHeight="2" orientation="portrait" horizontalDpi="4294967293" verticalDpi="1200" r:id="rId1"/>
  <headerFooter alignWithMargins="0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39</vt:i4>
      </vt:variant>
    </vt:vector>
  </HeadingPairs>
  <TitlesOfParts>
    <vt:vector size="73" baseType="lpstr">
      <vt:lpstr>Outline</vt:lpstr>
      <vt:lpstr>Reserve input</vt:lpstr>
      <vt:lpstr>Cost inputs</vt:lpstr>
      <vt:lpstr>Summary</vt:lpstr>
      <vt:lpstr>Graphs</vt:lpstr>
      <vt:lpstr>Prices</vt:lpstr>
      <vt:lpstr>Devonian</vt:lpstr>
      <vt:lpstr>Dev vert ec</vt:lpstr>
      <vt:lpstr>Dev hor ec</vt:lpstr>
      <vt:lpstr>Sil Carb</vt:lpstr>
      <vt:lpstr>Sil A1 vert</vt:lpstr>
      <vt:lpstr>Sil A1 hor</vt:lpstr>
      <vt:lpstr>Sil Gu Oil</vt:lpstr>
      <vt:lpstr>Sil Gu Oil vert ec</vt:lpstr>
      <vt:lpstr>Sil Gu Oil hor ec</vt:lpstr>
      <vt:lpstr>Sil Gu gas</vt:lpstr>
      <vt:lpstr>Sil Gu gas ver ec </vt:lpstr>
      <vt:lpstr>Sil Gu gas hor ec</vt:lpstr>
      <vt:lpstr>Sil Clint Gas</vt:lpstr>
      <vt:lpstr>Sil Clint gas vert</vt:lpstr>
      <vt:lpstr>Sil Clint gas hor</vt:lpstr>
      <vt:lpstr>Ord Oil</vt:lpstr>
      <vt:lpstr>Ord Gas</vt:lpstr>
      <vt:lpstr>Ord stdy Res</vt:lpstr>
      <vt:lpstr>Ord gas vert</vt:lpstr>
      <vt:lpstr>Ord gas hor</vt:lpstr>
      <vt:lpstr>Ord vert oil ec</vt:lpstr>
      <vt:lpstr>Ord hor oil ec</vt:lpstr>
      <vt:lpstr>Cam Gas</vt:lpstr>
      <vt:lpstr>Cam gas vert</vt:lpstr>
      <vt:lpstr>Cam gas hor</vt:lpstr>
      <vt:lpstr>Cam Oil</vt:lpstr>
      <vt:lpstr>Cam vert oil ec</vt:lpstr>
      <vt:lpstr>Cam hor oil ec</vt:lpstr>
      <vt:lpstr>'Cam gas hor'!Print_Area</vt:lpstr>
      <vt:lpstr>'Cam gas vert'!Print_Area</vt:lpstr>
      <vt:lpstr>'Cam hor oil ec'!Print_Area</vt:lpstr>
      <vt:lpstr>'Cam vert oil ec'!Print_Area</vt:lpstr>
      <vt:lpstr>'Cost inputs'!Print_Area</vt:lpstr>
      <vt:lpstr>'Dev hor ec'!Print_Area</vt:lpstr>
      <vt:lpstr>'Dev vert ec'!Print_Area</vt:lpstr>
      <vt:lpstr>'Ord gas hor'!Print_Area</vt:lpstr>
      <vt:lpstr>'Ord gas vert'!Print_Area</vt:lpstr>
      <vt:lpstr>'Ord hor oil ec'!Print_Area</vt:lpstr>
      <vt:lpstr>'Ord vert oil ec'!Print_Area</vt:lpstr>
      <vt:lpstr>Prices!Print_Area</vt:lpstr>
      <vt:lpstr>'Sil A1 hor'!Print_Area</vt:lpstr>
      <vt:lpstr>'Sil A1 vert'!Print_Area</vt:lpstr>
      <vt:lpstr>'Sil Clint gas hor'!Print_Area</vt:lpstr>
      <vt:lpstr>'Sil Clint gas vert'!Print_Area</vt:lpstr>
      <vt:lpstr>'Sil Gu gas hor ec'!Print_Area</vt:lpstr>
      <vt:lpstr>'Sil Gu gas ver ec '!Print_Area</vt:lpstr>
      <vt:lpstr>'Sil Gu Oil hor ec'!Print_Area</vt:lpstr>
      <vt:lpstr>'Sil Gu Oil vert ec'!Print_Area</vt:lpstr>
      <vt:lpstr>'Cam gas hor'!Print_Titles</vt:lpstr>
      <vt:lpstr>'Cam gas vert'!Print_Titles</vt:lpstr>
      <vt:lpstr>'Cam hor oil ec'!Print_Titles</vt:lpstr>
      <vt:lpstr>'Cam vert oil ec'!Print_Titles</vt:lpstr>
      <vt:lpstr>'Cost inputs'!Print_Titles</vt:lpstr>
      <vt:lpstr>'Dev hor ec'!Print_Titles</vt:lpstr>
      <vt:lpstr>'Dev vert ec'!Print_Titles</vt:lpstr>
      <vt:lpstr>'Ord gas hor'!Print_Titles</vt:lpstr>
      <vt:lpstr>'Ord gas vert'!Print_Titles</vt:lpstr>
      <vt:lpstr>'Ord hor oil ec'!Print_Titles</vt:lpstr>
      <vt:lpstr>'Ord vert oil ec'!Print_Titles</vt:lpstr>
      <vt:lpstr>'Sil A1 hor'!Print_Titles</vt:lpstr>
      <vt:lpstr>'Sil A1 vert'!Print_Titles</vt:lpstr>
      <vt:lpstr>'Sil Clint gas hor'!Print_Titles</vt:lpstr>
      <vt:lpstr>'Sil Clint gas vert'!Print_Titles</vt:lpstr>
      <vt:lpstr>'Sil Gu gas hor ec'!Print_Titles</vt:lpstr>
      <vt:lpstr>'Sil Gu gas ver ec '!Print_Titles</vt:lpstr>
      <vt:lpstr>'Sil Gu Oil hor ec'!Print_Titles</vt:lpstr>
      <vt:lpstr>'Sil Gu Oil vert ec'!Print_Titles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2017-05-24T01:01:42Z</cp:lastPrinted>
  <dcterms:created xsi:type="dcterms:W3CDTF">2017-04-11T19:36:13Z</dcterms:created>
  <dcterms:modified xsi:type="dcterms:W3CDTF">2017-05-24T01:16:38Z</dcterms:modified>
</cp:coreProperties>
</file>